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/>
  <mc:AlternateContent xmlns:mc="http://schemas.openxmlformats.org/markup-compatibility/2006">
    <mc:Choice Requires="x15">
      <x15ac:absPath xmlns:x15ac="http://schemas.microsoft.com/office/spreadsheetml/2010/11/ac" url="S:\Business_Office\BUSINESS OFFICE - NMSA\FY 2019\GC\2019 03\"/>
    </mc:Choice>
  </mc:AlternateContent>
  <xr:revisionPtr revIDLastSave="0" documentId="13_ncr:1_{F73B9A2F-37ED-4719-9A10-2551FA880F95}" xr6:coauthVersionLast="41" xr6:coauthVersionMax="41" xr10:uidLastSave="{00000000-0000-0000-0000-000000000000}"/>
  <bookViews>
    <workbookView xWindow="20370" yWindow="-120" windowWidth="20730" windowHeight="11160" xr2:uid="{00000000-000D-0000-FFFF-FFFF00000000}"/>
  </bookViews>
  <sheets>
    <sheet name="Summary" sheetId="15" r:id="rId1"/>
    <sheet name="Budget - FY2017" sheetId="9" r:id="rId2"/>
    <sheet name="Budget - FY2016" sheetId="10" r:id="rId3"/>
    <sheet name="FY2016" sheetId="8" r:id="rId4"/>
    <sheet name="Budget - FY2015" sheetId="11" r:id="rId5"/>
    <sheet name="FY2015" sheetId="7" r:id="rId6"/>
    <sheet name="Budget - FY2014" sheetId="12" r:id="rId7"/>
    <sheet name="FY2014" sheetId="6" r:id="rId8"/>
    <sheet name="Budget - FY2013" sheetId="13" r:id="rId9"/>
    <sheet name="FY2013" sheetId="5" r:id="rId10"/>
    <sheet name="Budget - FY2012" sheetId="14" r:id="rId11"/>
    <sheet name="FY2012" sheetId="4" r:id="rId12"/>
    <sheet name="FY2011" sheetId="3" r:id="rId13"/>
    <sheet name="FY2010" sheetId="2" r:id="rId14"/>
  </sheets>
  <externalReferences>
    <externalReference r:id="rId15"/>
  </externalReferences>
  <definedNames>
    <definedName name="_AccountCode" localSheetId="10">'Budget - FY2012'!$A$3</definedName>
    <definedName name="_AccountCode" localSheetId="8">'Budget - FY2013'!$A$3</definedName>
    <definedName name="_AccountCode" localSheetId="6">'Budget - FY2014'!$A$3</definedName>
    <definedName name="_AccountCode" localSheetId="4">'Budget - FY2015'!$A$3</definedName>
    <definedName name="_AccountCode" localSheetId="2">'Budget - FY2016'!$A$3</definedName>
    <definedName name="_AccountCode">'Budget - FY2017'!$A$3</definedName>
    <definedName name="_ActualBalance" localSheetId="10">'Budget - FY2012'!$E$3</definedName>
    <definedName name="_ActualBalance" localSheetId="8">'Budget - FY2013'!$E$3</definedName>
    <definedName name="_ActualBalance" localSheetId="6">'Budget - FY2014'!$E$3</definedName>
    <definedName name="_ActualBalance" localSheetId="4">'Budget - FY2015'!$E$3</definedName>
    <definedName name="_ActualBalance" localSheetId="2">'Budget - FY2016'!$E$3</definedName>
    <definedName name="_ActualBalance">'Budget - FY2017'!$E$3</definedName>
    <definedName name="_ActualDateRange" localSheetId="10">'Budget - FY2012'!$C$3</definedName>
    <definedName name="_ActualDateRange" localSheetId="8">'Budget - FY2013'!$C$3</definedName>
    <definedName name="_ActualDateRange" localSheetId="6">'Budget - FY2014'!$C$3</definedName>
    <definedName name="_ActualDateRange" localSheetId="4">'Budget - FY2015'!$C$3</definedName>
    <definedName name="_ActualDateRange" localSheetId="2">'Budget - FY2016'!$C$3</definedName>
    <definedName name="_ActualDateRange">'Budget - FY2017'!$C$3</definedName>
    <definedName name="_Apta10_1_3_1">'Budget - FY2012'!$C$8</definedName>
    <definedName name="_Apta10_1_4_1">'Budget - FY2012'!$D$8</definedName>
    <definedName name="_Apta10_1_5_1">'Budget - FY2012'!$E$8</definedName>
    <definedName name="_Apta10_1_6_1">'Budget - FY2012'!$F$8</definedName>
    <definedName name="_Apta10_1_7_1">'Budget - FY2012'!$G$8</definedName>
    <definedName name="_Apta13_1_3_1">'Budget - FY2013'!$C$11</definedName>
    <definedName name="_Apta13_1_4_1">'Budget - FY2013'!$D$11</definedName>
    <definedName name="_Apta13_1_5_1">'Budget - FY2013'!$E$11</definedName>
    <definedName name="_Apta13_1_6_1">'Budget - FY2013'!$F$11</definedName>
    <definedName name="_Apta13_1_7_1">'Budget - FY2013'!$G$11</definedName>
    <definedName name="_Apta20_1_3_1">'Budget - FY2014'!$C$8,'Budget - FY2014'!$C$18</definedName>
    <definedName name="_Apta20_1_4_1">'Budget - FY2014'!$D$8,'Budget - FY2014'!$D$18</definedName>
    <definedName name="_Apta20_1_5_1">'Budget - FY2014'!$E$8,'Budget - FY2014'!$E$18</definedName>
    <definedName name="_Apta20_1_6_1">'Budget - FY2014'!$F$8,'Budget - FY2014'!$F$18</definedName>
    <definedName name="_Apta20_1_7_1">'Budget - FY2014'!$G$8,'Budget - FY2014'!$G$18</definedName>
    <definedName name="_Apta29_1_3_1">'Budget - FY2015'!$C$7,'Budget - FY2015'!$C$13,'Budget - FY2015'!$C$22,'Budget - FY2015'!$C$27</definedName>
    <definedName name="_Apta29_1_4_1">'Budget - FY2015'!$D$7,'Budget - FY2015'!$D$13,'Budget - FY2015'!$D$22,'Budget - FY2015'!$D$27</definedName>
    <definedName name="_Apta29_1_5_1">'Budget - FY2015'!$E$7,'Budget - FY2015'!$E$13,'Budget - FY2015'!$E$22,'Budget - FY2015'!$E$27</definedName>
    <definedName name="_Apta29_1_6_1">'Budget - FY2015'!$F$7,'Budget - FY2015'!$F$13,'Budget - FY2015'!$F$22,'Budget - FY2015'!$F$27</definedName>
    <definedName name="_Apta29_1_7_1">'Budget - FY2015'!$G$7,'Budget - FY2015'!$G$13,'Budget - FY2015'!$G$22,'Budget - FY2015'!$G$27</definedName>
    <definedName name="_Apta38_1_3_1">'Budget - FY2016'!$C$10,'Budget - FY2016'!$C$17,'Budget - FY2016'!$C$23,'Budget - FY2016'!$C$32,'Budget - FY2016'!$C$36</definedName>
    <definedName name="_Apta38_1_4_1">'Budget - FY2016'!$D$10,'Budget - FY2016'!$D$17,'Budget - FY2016'!$D$23,'Budget - FY2016'!$D$32,'Budget - FY2016'!$D$36</definedName>
    <definedName name="_Apta38_1_5_1">'Budget - FY2016'!$E$10,'Budget - FY2016'!$E$17,'Budget - FY2016'!$E$23,'Budget - FY2016'!$E$32,'Budget - FY2016'!$E$36</definedName>
    <definedName name="_Apta38_1_6_1">'Budget - FY2016'!$F$10,'Budget - FY2016'!$F$17,'Budget - FY2016'!$F$23,'Budget - FY2016'!$F$32,'Budget - FY2016'!$F$36</definedName>
    <definedName name="_Apta38_1_7_1">'Budget - FY2016'!$G$10,'Budget - FY2016'!$G$17,'Budget - FY2016'!$G$23,'Budget - FY2016'!$G$32,'Budget - FY2016'!$G$36</definedName>
    <definedName name="_Apta39_1_3_1">'Budget - FY2017'!$C$9,'Budget - FY2017'!$C$14,'Budget - FY2017'!$C$20,'Budget - FY2017'!$C$25,'Budget - FY2017'!$C$32,'Budget - FY2017'!$C$37</definedName>
    <definedName name="_Apta39_1_4_1">'Budget - FY2017'!$D$9,'Budget - FY2017'!$D$14,'Budget - FY2017'!$D$20,'Budget - FY2017'!$D$25,'Budget - FY2017'!$D$32,'Budget - FY2017'!$D$37</definedName>
    <definedName name="_Apta39_1_5_1">'Budget - FY2017'!$E$9,'Budget - FY2017'!$E$14,'Budget - FY2017'!$E$20,'Budget - FY2017'!$E$25,'Budget - FY2017'!$E$32,'Budget - FY2017'!$E$37</definedName>
    <definedName name="_Apta39_1_6_1">'Budget - FY2017'!$F$9,'Budget - FY2017'!$F$14,'Budget - FY2017'!$F$20,'Budget - FY2017'!$F$25,'Budget - FY2017'!$F$32,'Budget - FY2017'!$F$37</definedName>
    <definedName name="_Apta39_1_7_1">'Budget - FY2017'!$G$9,'Budget - FY2017'!$G$14,'Budget - FY2017'!$G$20,'Budget - FY2017'!$G$25,'Budget - FY2017'!$G$32,'Budget - FY2017'!$G$37</definedName>
    <definedName name="_Available" localSheetId="10">'Budget - FY2012'!$G$3</definedName>
    <definedName name="_Available" localSheetId="8">'Budget - FY2013'!$G$3</definedName>
    <definedName name="_Available" localSheetId="6">'Budget - FY2014'!$G$3</definedName>
    <definedName name="_Available" localSheetId="4">'Budget - FY2015'!$G$3</definedName>
    <definedName name="_Available" localSheetId="2">'Budget - FY2016'!$G$3</definedName>
    <definedName name="_Available">'Budget - FY2017'!$G$3</definedName>
    <definedName name="_BudgetBalance" localSheetId="10">'Budget - FY2012'!$D$3</definedName>
    <definedName name="_BudgetBalance" localSheetId="8">'Budget - FY2013'!$D$3</definedName>
    <definedName name="_BudgetBalance" localSheetId="6">'Budget - FY2014'!$D$3</definedName>
    <definedName name="_BudgetBalance" localSheetId="4">'Budget - FY2015'!$D$3</definedName>
    <definedName name="_BudgetBalance" localSheetId="2">'Budget - FY2016'!$D$3</definedName>
    <definedName name="_BudgetBalance">'Budget - FY2017'!$D$3</definedName>
    <definedName name="_Description" localSheetId="10">'Budget - FY2012'!$B$3</definedName>
    <definedName name="_Description" localSheetId="8">'Budget - FY2013'!$B$3</definedName>
    <definedName name="_Description" localSheetId="6">'Budget - FY2014'!$B$3</definedName>
    <definedName name="_Description" localSheetId="4">'Budget - FY2015'!$B$3</definedName>
    <definedName name="_Description" localSheetId="2">'Budget - FY2016'!$B$3</definedName>
    <definedName name="_Description">'Budget - FY2017'!$B$3</definedName>
    <definedName name="_EncumbranceBalance" localSheetId="10">'Budget - FY2012'!$F$3</definedName>
    <definedName name="_EncumbranceBalance" localSheetId="8">'Budget - FY2013'!$F$3</definedName>
    <definedName name="_EncumbranceBalance" localSheetId="6">'Budget - FY2014'!$F$3</definedName>
    <definedName name="_EncumbranceBalance" localSheetId="4">'Budget - FY2015'!$F$3</definedName>
    <definedName name="_EncumbranceBalance" localSheetId="2">'Budget - FY2016'!$F$3</definedName>
    <definedName name="_EncumbranceBalance">'Budget - FY2017'!$F$3</definedName>
    <definedName name="_Percent" localSheetId="10">'Budget - FY2012'!#REF!</definedName>
    <definedName name="_Percent" localSheetId="8">'Budget - FY2013'!$H$3</definedName>
    <definedName name="_Percent" localSheetId="6">'Budget - FY2014'!$H$3</definedName>
    <definedName name="_Percent" localSheetId="4">'Budget - FY2015'!#REF!</definedName>
    <definedName name="_Percent" localSheetId="2">'Budget - FY2016'!#REF!</definedName>
    <definedName name="_Percent">'Budget - FY2017'!#REF!</definedName>
    <definedName name="_xlnm.Print_Area" localSheetId="10">'Budget - FY2012'!$A$1:$G$11</definedName>
    <definedName name="_xlnm.Print_Area" localSheetId="8">'Budget - FY2013'!$A$1:$H$15</definedName>
    <definedName name="_xlnm.Print_Area" localSheetId="6">'Budget - FY2014'!$A$1:$H$21</definedName>
    <definedName name="_xlnm.Print_Area" localSheetId="2">'Budget - FY2016'!$A$1:$G$40</definedName>
    <definedName name="_xlnm.Print_Area" localSheetId="1">'Budget - FY2017'!$A$1:$I$40</definedName>
    <definedName name="_xlnm.Print_Area" localSheetId="13">'FY2010'!$A$1:$D$24</definedName>
    <definedName name="_xlnm.Print_Area" localSheetId="12">'FY2011'!$A$1:$N$37</definedName>
    <definedName name="_xlnm.Print_Area" localSheetId="11">'FY2012'!$A$1:$N$41</definedName>
    <definedName name="_xlnm.Print_Area" localSheetId="9">'FY2013'!$A$1:$Q$41</definedName>
    <definedName name="_xlnm.Print_Area" localSheetId="7">'FY2014'!$A$1:$S$44</definedName>
    <definedName name="_xlnm.Print_Area" localSheetId="5">'FY2015'!$A$1:$V$44</definedName>
    <definedName name="_xlnm.Print_Area" localSheetId="3">'FY2016'!$A$1:$X$43</definedName>
    <definedName name="_xlnm.Print_Area" localSheetId="0">Summary!$A$1:$G$62</definedName>
    <definedName name="_xlnm.Print_Titles" localSheetId="10">'Budget - FY2012'!$1:$4</definedName>
    <definedName name="_xlnm.Print_Titles" localSheetId="8">'Budget - FY2013'!$1:$4</definedName>
    <definedName name="_xlnm.Print_Titles" localSheetId="6">'Budget - FY2014'!$1:$4</definedName>
    <definedName name="_xlnm.Print_Titles" localSheetId="4">'Budget - FY2015'!$1:$4</definedName>
    <definedName name="_xlnm.Print_Titles" localSheetId="2">'Budget - FY2016'!$1:$4</definedName>
    <definedName name="_xlnm.Print_Titles" localSheetId="1">'Budget - FY2017'!$1:$4</definedName>
  </definedNames>
  <calcPr calcId="18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4" i="15" l="1"/>
  <c r="D32" i="15"/>
  <c r="D13" i="15"/>
  <c r="D26" i="15" l="1"/>
  <c r="B54" i="15" l="1"/>
  <c r="F54" i="15"/>
  <c r="B55" i="15"/>
  <c r="F55" i="15"/>
  <c r="B56" i="15"/>
  <c r="F56" i="15"/>
  <c r="B57" i="15"/>
  <c r="F57" i="15"/>
  <c r="G57" i="15"/>
  <c r="B58" i="15"/>
  <c r="F58" i="15"/>
  <c r="G58" i="15"/>
  <c r="B59" i="15"/>
  <c r="F59" i="15"/>
  <c r="G59" i="15"/>
  <c r="B60" i="15"/>
  <c r="F60" i="15"/>
  <c r="G60" i="15"/>
  <c r="B61" i="15"/>
  <c r="F61" i="15"/>
  <c r="G61" i="15"/>
  <c r="G56" i="15"/>
  <c r="B41" i="15"/>
  <c r="F41" i="15"/>
  <c r="B42" i="15"/>
  <c r="C42" i="15"/>
  <c r="F42" i="15"/>
  <c r="B43" i="15"/>
  <c r="C43" i="15"/>
  <c r="F43" i="15"/>
  <c r="B44" i="15"/>
  <c r="F44" i="15"/>
  <c r="G44" i="15" s="1"/>
  <c r="F30" i="15"/>
  <c r="B31" i="15"/>
  <c r="F31" i="15"/>
  <c r="B32" i="15"/>
  <c r="F32" i="15"/>
  <c r="G32" i="15" s="1"/>
  <c r="F25" i="15"/>
  <c r="C26" i="15"/>
  <c r="F26" i="15"/>
  <c r="G24" i="15"/>
  <c r="G25" i="15"/>
  <c r="G26" i="15"/>
  <c r="F9" i="15"/>
  <c r="B10" i="15"/>
  <c r="F10" i="15"/>
  <c r="B11" i="15"/>
  <c r="F11" i="15"/>
  <c r="B12" i="15"/>
  <c r="C12" i="15"/>
  <c r="F12" i="15"/>
  <c r="B13" i="15"/>
  <c r="F13" i="15"/>
  <c r="G13" i="15" s="1"/>
  <c r="C24" i="15"/>
  <c r="F22" i="15"/>
  <c r="B23" i="15"/>
  <c r="F16" i="15"/>
  <c r="B17" i="15"/>
  <c r="F17" i="15"/>
  <c r="B18" i="15"/>
  <c r="F18" i="15"/>
  <c r="B19" i="15"/>
  <c r="F19" i="15"/>
  <c r="B20" i="15"/>
  <c r="F20" i="15"/>
  <c r="B21" i="15"/>
  <c r="F21" i="15"/>
  <c r="A1" i="15"/>
  <c r="F47" i="15"/>
  <c r="H29" i="9"/>
  <c r="H18" i="9"/>
  <c r="H30" i="9"/>
  <c r="C8" i="14"/>
  <c r="D8" i="14"/>
  <c r="E8" i="14"/>
  <c r="F8" i="14"/>
  <c r="G8" i="14"/>
  <c r="C10" i="14"/>
  <c r="D10" i="14"/>
  <c r="E10" i="14"/>
  <c r="F10" i="14"/>
  <c r="G10" i="14"/>
  <c r="C11" i="13"/>
  <c r="D11" i="13"/>
  <c r="E11" i="13"/>
  <c r="F11" i="13"/>
  <c r="G11" i="13"/>
  <c r="C13" i="13"/>
  <c r="D13" i="13"/>
  <c r="E13" i="13"/>
  <c r="F13" i="13"/>
  <c r="G13" i="13"/>
  <c r="C8" i="12"/>
  <c r="D8" i="12"/>
  <c r="E8" i="12"/>
  <c r="F8" i="12"/>
  <c r="G8" i="12"/>
  <c r="C18" i="12"/>
  <c r="D18" i="12"/>
  <c r="E18" i="12"/>
  <c r="F18" i="12"/>
  <c r="G18" i="12"/>
  <c r="H18" i="12"/>
  <c r="C20" i="12"/>
  <c r="D20" i="12"/>
  <c r="E20" i="12"/>
  <c r="F20" i="12"/>
  <c r="G20" i="12"/>
  <c r="C7" i="11"/>
  <c r="D7" i="11"/>
  <c r="E7" i="11"/>
  <c r="F7" i="11"/>
  <c r="G7" i="11"/>
  <c r="C13" i="11"/>
  <c r="D13" i="11"/>
  <c r="E13" i="11"/>
  <c r="F13" i="11"/>
  <c r="G13" i="11"/>
  <c r="C22" i="11"/>
  <c r="D22" i="11"/>
  <c r="E22" i="11"/>
  <c r="F22" i="11"/>
  <c r="G22" i="11"/>
  <c r="C27" i="11"/>
  <c r="D27" i="11"/>
  <c r="E27" i="11"/>
  <c r="F27" i="11"/>
  <c r="G27" i="11"/>
  <c r="C29" i="11"/>
  <c r="D29" i="11"/>
  <c r="E29" i="11"/>
  <c r="F29" i="11"/>
  <c r="G29" i="11"/>
  <c r="C10" i="10"/>
  <c r="D10" i="10"/>
  <c r="E10" i="10"/>
  <c r="F10" i="10"/>
  <c r="G10" i="10"/>
  <c r="C17" i="10"/>
  <c r="D17" i="10"/>
  <c r="E17" i="10"/>
  <c r="F17" i="10"/>
  <c r="G17" i="10"/>
  <c r="C23" i="10"/>
  <c r="D23" i="10"/>
  <c r="E23" i="10"/>
  <c r="F23" i="10"/>
  <c r="G23" i="10"/>
  <c r="C32" i="10"/>
  <c r="D32" i="10"/>
  <c r="E32" i="10"/>
  <c r="F32" i="10"/>
  <c r="G32" i="10"/>
  <c r="C36" i="10"/>
  <c r="D36" i="10"/>
  <c r="E36" i="10"/>
  <c r="F36" i="10"/>
  <c r="G36" i="10"/>
  <c r="C38" i="10"/>
  <c r="D38" i="10"/>
  <c r="E38" i="10"/>
  <c r="F38" i="10"/>
  <c r="G38" i="10"/>
  <c r="C9" i="9"/>
  <c r="D9" i="9"/>
  <c r="E9" i="9"/>
  <c r="F9" i="9"/>
  <c r="G9" i="9"/>
  <c r="C14" i="9"/>
  <c r="D14" i="9"/>
  <c r="E14" i="9"/>
  <c r="F14" i="9"/>
  <c r="G14" i="9"/>
  <c r="C20" i="9"/>
  <c r="D20" i="9"/>
  <c r="E20" i="9"/>
  <c r="F20" i="9"/>
  <c r="G20" i="9"/>
  <c r="C25" i="9"/>
  <c r="D25" i="9"/>
  <c r="E25" i="9"/>
  <c r="F25" i="9"/>
  <c r="G25" i="9"/>
  <c r="C32" i="9"/>
  <c r="D32" i="9"/>
  <c r="E32" i="9"/>
  <c r="F32" i="9"/>
  <c r="G32" i="9"/>
  <c r="C37" i="9"/>
  <c r="D37" i="9"/>
  <c r="E37" i="9"/>
  <c r="F37" i="9"/>
  <c r="G37" i="9"/>
  <c r="C39" i="9"/>
  <c r="D39" i="9"/>
  <c r="E39" i="9"/>
  <c r="F39" i="9"/>
  <c r="G39" i="9"/>
  <c r="H20" i="12" l="1"/>
</calcChain>
</file>

<file path=xl/sharedStrings.xml><?xml version="1.0" encoding="utf-8"?>
<sst xmlns="http://schemas.openxmlformats.org/spreadsheetml/2006/main" count="555" uniqueCount="164">
  <si>
    <t>Fund</t>
  </si>
  <si>
    <t>Date Expires</t>
  </si>
  <si>
    <t>Allowed Use</t>
  </si>
  <si>
    <t>Cap Outlay</t>
  </si>
  <si>
    <t>Special Leg  14</t>
  </si>
  <si>
    <t>Special Leg  15</t>
  </si>
  <si>
    <t>Description</t>
  </si>
  <si>
    <t xml:space="preserve">11000 - Operational </t>
  </si>
  <si>
    <t>27112 - Charter Schools (Planning</t>
  </si>
  <si>
    <t>Total</t>
  </si>
  <si>
    <t xml:space="preserve">         41920 - Contributions/Donations - Private Sources (Non Categorical)</t>
  </si>
  <si>
    <t xml:space="preserve">         43202 - State Flow-through Grant</t>
  </si>
  <si>
    <t>Total Revenue</t>
  </si>
  <si>
    <t xml:space="preserve">   1000 - Instruction</t>
  </si>
  <si>
    <t xml:space="preserve">      2300 - Support Services-General Administration </t>
  </si>
  <si>
    <t xml:space="preserve">      2400 - Support Services-School Administration </t>
  </si>
  <si>
    <t xml:space="preserve">      2500 - Central Services </t>
  </si>
  <si>
    <t xml:space="preserve">      2600 - Operation &amp; Maintenance of Plant </t>
  </si>
  <si>
    <t>Total Expenditure</t>
  </si>
  <si>
    <t>Total Other Financing Sources (Uses)</t>
  </si>
  <si>
    <t>Excess (deficiency) of revenues and other financing</t>
  </si>
  <si>
    <t xml:space="preserve">   sources over expenditures and other financing uses</t>
  </si>
  <si>
    <t>Fund Balance, Beginning of year</t>
  </si>
  <si>
    <t>Fund Balance, End of year</t>
  </si>
  <si>
    <t>14000 - Instructional Materials</t>
  </si>
  <si>
    <t>21000 - Food Services</t>
  </si>
  <si>
    <t>23000 - Non-Instructional Support</t>
  </si>
  <si>
    <t>24101 - Title I - IASA</t>
  </si>
  <si>
    <t xml:space="preserve">24106 - Entitlement IDEA-B </t>
  </si>
  <si>
    <t>24154 - Teacher/Principal Trainin</t>
  </si>
  <si>
    <t>25250 - SEG - Federal Stimulus</t>
  </si>
  <si>
    <t>25255 - Education Job Fund</t>
  </si>
  <si>
    <t>29102 - Private Dir Grants (Categ</t>
  </si>
  <si>
    <t>31200 - Public School Capital Out</t>
  </si>
  <si>
    <t xml:space="preserve">         41604 - Fees - Students/Food Services</t>
  </si>
  <si>
    <t xml:space="preserve">         41701 - Fees - Activities</t>
  </si>
  <si>
    <t xml:space="preserve">         41910 - Rentals</t>
  </si>
  <si>
    <t xml:space="preserve">         41921 - Instructional - Categorical</t>
  </si>
  <si>
    <t xml:space="preserve">         43101 - State Equalization Guarantee</t>
  </si>
  <si>
    <t xml:space="preserve">         43207 - Instructional Materials - Credit (50%)</t>
  </si>
  <si>
    <t xml:space="preserve">         43209 - PSCOC Awards</t>
  </si>
  <si>
    <t xml:space="preserve">         43211 - Instructional Materials - Cash</t>
  </si>
  <si>
    <t xml:space="preserve">         44301 - Other Restricted Grants - Federal Direct</t>
  </si>
  <si>
    <t xml:space="preserve">      44500 - Restricted Grants - Federal Flow-through</t>
  </si>
  <si>
    <t xml:space="preserve">      2100 - Support Services-Students</t>
  </si>
  <si>
    <t xml:space="preserve">      2900 - Other Support Services</t>
  </si>
  <si>
    <t xml:space="preserve">      3100 - Food Services Operations </t>
  </si>
  <si>
    <t xml:space="preserve">   4000 - Capital Outlay </t>
  </si>
  <si>
    <t>27105 - 2008 G.O. Bond Student Li</t>
  </si>
  <si>
    <t>27106 - 2010 GO Bond Student Libr</t>
  </si>
  <si>
    <t>31700 - Capital Improvements SB-9</t>
  </si>
  <si>
    <t xml:space="preserve">         41702 - Fees - Educational</t>
  </si>
  <si>
    <t xml:space="preserve">         41922 - Instructional Support - Categorical</t>
  </si>
  <si>
    <t xml:space="preserve">         41980 - Refund of Prior Year’s Expenditures</t>
  </si>
  <si>
    <t xml:space="preserve">      46100 - Access Board (e-Rate)</t>
  </si>
  <si>
    <t xml:space="preserve">      2200 - Support Services-Instruction</t>
  </si>
  <si>
    <t>27103 - Dual Credit</t>
  </si>
  <si>
    <t>27171 - 2010 GOB Instructional Ma</t>
  </si>
  <si>
    <t>99001 - Student Council</t>
  </si>
  <si>
    <t>99003 - Senior Class 2012</t>
  </si>
  <si>
    <t>99004 - Senior Class 2013</t>
  </si>
  <si>
    <t>99005 - Yearbook</t>
  </si>
  <si>
    <t xml:space="preserve">         41110 - Ad Valorem Taxes - School District</t>
  </si>
  <si>
    <t xml:space="preserve">         41603 - Fees - Adults/Food Services</t>
  </si>
  <si>
    <t>27122 - Advanced Placement</t>
  </si>
  <si>
    <t>99006 - French Club</t>
  </si>
  <si>
    <t>99007 - GSA</t>
  </si>
  <si>
    <t xml:space="preserve">      41500 - Investment Income</t>
  </si>
  <si>
    <t xml:space="preserve">         41923 - Administration - Categorical</t>
  </si>
  <si>
    <t>24120 - IDEA-B ''Risk Pool''</t>
  </si>
  <si>
    <t>27188 - Teacher and School Leader</t>
  </si>
  <si>
    <t>27190 - Teacher and School Leader</t>
  </si>
  <si>
    <t>31900 - Educational Technology Eq</t>
  </si>
  <si>
    <t>99008 - Senior Class</t>
  </si>
  <si>
    <t xml:space="preserve">         45110 - Sale of Bonds</t>
  </si>
  <si>
    <t>27107 - 2012 GOBond Student Libra</t>
  </si>
  <si>
    <t>31400 - Special Capital Outlay-St</t>
  </si>
  <si>
    <t>31600 - Campital Improvements HB-</t>
  </si>
  <si>
    <t>99010 - Service Learning &amp; Global</t>
  </si>
  <si>
    <t xml:space="preserve">      2700 - Student Transportation </t>
  </si>
  <si>
    <t>Note</t>
  </si>
  <si>
    <t>HB-33 - 31600</t>
  </si>
  <si>
    <t>Subtotal of Element: [Fund] 31900 - Educational Technology Equipment Act</t>
  </si>
  <si>
    <t>''Supply Assets ($5,000 or Less)''</t>
  </si>
  <si>
    <t>31900-4000-57332-0000-509001-0000-00000</t>
  </si>
  <si>
    <t>Inter-Governmental Contract Revenue</t>
  </si>
  <si>
    <t>31900-0000-43215-0000-509001-0000-00000</t>
  </si>
  <si>
    <t>Subtotal of Element: [Fund] 31701 - Capital Improvements SB-9 Local</t>
  </si>
  <si>
    <t>31701-4000-57332-0000-509001-0000-00000</t>
  </si>
  <si>
    <t>Software</t>
  </si>
  <si>
    <t>31701-4000-56113-0000-509001-0000-00000</t>
  </si>
  <si>
    <t>County Tax Collection Costs</t>
  </si>
  <si>
    <t>31701-2300-53712-0000-509001-0000-00000</t>
  </si>
  <si>
    <t>Ad Valorem Taxes - School District</t>
  </si>
  <si>
    <t>31701-0000-41110-0000-509001-0000-00000</t>
  </si>
  <si>
    <t>Subtotal of Element: [Fund] 31700 - Capital Improvements SB-9</t>
  </si>
  <si>
    <t>31700-4000-57332-0000-509001-0000-00000</t>
  </si>
  <si>
    <t>Prior Year Balances</t>
  </si>
  <si>
    <t>31700-0000-43204-0000-509001-0000-00000</t>
  </si>
  <si>
    <t>Subtotal of Element: [Fund] 31600 - Campital Improvements HB-33</t>
  </si>
  <si>
    <t>31600-4000-57332-0000-509001-0000-00000</t>
  </si>
  <si>
    <t>31600-2300-53712-0000-509001-0000-00000</t>
  </si>
  <si>
    <t>31600-0000-41110-0000-509001-0000-00000</t>
  </si>
  <si>
    <t>Subtotal of Element: [Fund] 31400 - Special Capital Outlay-State</t>
  </si>
  <si>
    <t>Other Services</t>
  </si>
  <si>
    <t>31400-4000-53414-0000-509001-0000-00000</t>
  </si>
  <si>
    <t>31400-0000-43204-0000-509001-0000-00000</t>
  </si>
  <si>
    <t>Subtotal of Element: [Fund] 27107 - 2012 GOBond Student Library SB-66</t>
  </si>
  <si>
    <t>Library And Audio-Visual</t>
  </si>
  <si>
    <t>27107-2200-56114-0000-509001-0000-00000</t>
  </si>
  <si>
    <t>27107-0000-43204-0000-509001-0000-00000</t>
  </si>
  <si>
    <t>State Flow-through Grant</t>
  </si>
  <si>
    <t>27107-0000-43202-0000-509001-0000-00000</t>
  </si>
  <si>
    <t>% of Budget</t>
  </si>
  <si>
    <t>Available (YTD)</t>
  </si>
  <si>
    <t>Encumbrance (YTD)</t>
  </si>
  <si>
    <t>Actual (YTD)</t>
  </si>
  <si>
    <t>Budget (YTD)</t>
  </si>
  <si>
    <t>Actual (Date Range)</t>
  </si>
  <si>
    <t>Account Code</t>
  </si>
  <si>
    <t>Cycle: FY2017;  Begin Date: 7/1/2016;  End Date: 1/4/2017;  Account Type: Revenue,Expenditure;  Subtotal Elements: Fund;  Filter:  ([Fund] In ('27107','31400','31600','31700','31701','31900')) ;  Subtotal By Account Type: No</t>
  </si>
  <si>
    <t>Fixed Assets (More Than $5,000)</t>
  </si>
  <si>
    <t>31700-4000-57331-0000-509001-0000-00000</t>
  </si>
  <si>
    <t>31700-4000-56113-0000-509001-0000-00000</t>
  </si>
  <si>
    <t>31700-2300-53712-0000-509001-0000-00000</t>
  </si>
  <si>
    <t>31700-0000-43202-0000-509001-0000-00000</t>
  </si>
  <si>
    <t>31700-0000-41110-0000-509001-0000-00000</t>
  </si>
  <si>
    <t>Construction Services</t>
  </si>
  <si>
    <t>31400-4000-54500-0000-509001-0000-00000</t>
  </si>
  <si>
    <t>31400-0000-43202-0000-509001-0000-00000</t>
  </si>
  <si>
    <t>27107-2200-56113-0000-509001-0000-00000</t>
  </si>
  <si>
    <t>Cycle: FY2016;  Begin Date: 7/1/2015;  End Date: 6/30/2016;  Account Type: Revenue,Expenditure;  Subtotal Elements: Fund;  Filter:  ([Fund] In ('27107','31400','31600','31700','31701','31900')) ;  Subtotal By Account Type: No</t>
  </si>
  <si>
    <t>Ed. Technology Equipment Act</t>
  </si>
  <si>
    <t>Sale of Bonds</t>
  </si>
  <si>
    <t>31900-0000-45110-0000-509001-0000-00000</t>
  </si>
  <si>
    <t xml:space="preserve">Land </t>
  </si>
  <si>
    <t>31400-4000-57111-0000-509001-0000-00000</t>
  </si>
  <si>
    <t>27107-1000-57332-1010-509001-0000-00000</t>
  </si>
  <si>
    <t>Cycle: FY2015;  Begin Date: 7/1/2014;  End Date: 6/30/2015;  Account Type: Revenue,Expenditure;  Subtotal Elements: Fund;  Filter:  ([Fund] In ('27107','31400','31600','31700','31701','31900')) ;  Subtotal By Account Type: No</t>
  </si>
  <si>
    <t>31700-4000-57332-0000-509001-0000-20000</t>
  </si>
  <si>
    <t>27107-2100-57332-0000-509001-0000-00000</t>
  </si>
  <si>
    <t>Cycle: FY2014;  Begin Date: 7/1/2013;  End Date: 6/30/2014;  Account Type: Revenue,Expenditure;  Subtotal Elements: Fund;  Filter:  ([Fund] In ('27107','31400','31600','31700','31701','31900')) ;  Subtotal By Account Type: No</t>
  </si>
  <si>
    <t>Cycle: FY2013;  Begin Date: 7/1/2012;  End Date: 6/30/2013;  Account Type: Revenue,Expenditure;  Subtotal Elements: Fund;  Filter:  ([Fund] In ('27107','31400','31600','31700','31701','31900')) ;  Subtotal By Account Type: No</t>
  </si>
  <si>
    <t>Cycle: FY2012;  Begin Date: 7/1/2011;  End Date: 6/30/2012;  Account Type: Revenue,Expenditure;  Subtotal Elements: Fund;  Filter:  ([Fund] In ('27107','31400','31600','31700','31701','31900')) ;  Subtotal By Account Type: No</t>
  </si>
  <si>
    <t xml:space="preserve"> </t>
  </si>
  <si>
    <t>Initial amount is prior year balance.  There is no current year allocation yet.</t>
  </si>
  <si>
    <t>Fund 27105 &amp; 27106</t>
  </si>
  <si>
    <t xml:space="preserve">SB-9 - 31701 - Local </t>
  </si>
  <si>
    <t>No award letter for state match yet.</t>
  </si>
  <si>
    <t>Cash balance was re-classified to fund 31701</t>
  </si>
  <si>
    <t>SB-9 - 31700 - State (included local to FY2016)</t>
  </si>
  <si>
    <t>Educational Technology - 31900</t>
  </si>
  <si>
    <t>*not budgeted</t>
  </si>
  <si>
    <t xml:space="preserve">Projected Capital Resources </t>
  </si>
  <si>
    <t>Beginning Cash Balance</t>
  </si>
  <si>
    <t>Revenue</t>
  </si>
  <si>
    <t>Expenditures</t>
  </si>
  <si>
    <t>Ending Cash Balance</t>
  </si>
  <si>
    <t>Estimated Revenue/Award Amount</t>
  </si>
  <si>
    <t>Ending Balance</t>
  </si>
  <si>
    <t>GO Bond Library - 27107</t>
  </si>
  <si>
    <t>Expires 6/30/20</t>
  </si>
  <si>
    <t>Expires 6/30/19</t>
  </si>
  <si>
    <t>As of 2/28/19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</si>
</sst>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2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5" fillId="3" borderId="1">
      <alignment horizontal="left"/>
    </xf>
    <xf numFmtId="0" fontId="5" fillId="3" borderId="2">
      <alignment horizontal="left"/>
    </xf>
    <xf numFmtId="0" fontId="5" fillId="3" borderId="3">
      <alignment horizontal="left"/>
    </xf>
    <xf numFmtId="44" fontId="5" fillId="0" borderId="0" applyFont="0" applyFill="0" applyBorder="0" applyAlignment="0" applyProtection="0"/>
    <xf numFmtId="14" fontId="5" fillId="0" borderId="0" applyFont="0" applyFill="0" applyBorder="0" applyProtection="0">
      <alignment horizontal="left"/>
    </xf>
    <xf numFmtId="0" fontId="6" fillId="0" borderId="1">
      <alignment horizontal="left"/>
    </xf>
    <xf numFmtId="2" fontId="5" fillId="0" borderId="0" applyFill="0" applyProtection="0"/>
    <xf numFmtId="0" fontId="6" fillId="3" borderId="4">
      <alignment horizontal="left"/>
    </xf>
    <xf numFmtId="0" fontId="6" fillId="3" borderId="5">
      <alignment horizontal="left"/>
    </xf>
    <xf numFmtId="0" fontId="5" fillId="0" borderId="0" applyFont="0" applyFill="0" applyBorder="0" applyAlignment="0" applyProtection="0"/>
    <xf numFmtId="0" fontId="5" fillId="0" borderId="0">
      <alignment horizontal="left"/>
    </xf>
    <xf numFmtId="0" fontId="6" fillId="3" borderId="6">
      <alignment horizontal="left"/>
    </xf>
    <xf numFmtId="0" fontId="5" fillId="0" borderId="1">
      <alignment horizontal="left"/>
    </xf>
    <xf numFmtId="0" fontId="6" fillId="3" borderId="7">
      <alignment horizontal="left"/>
    </xf>
    <xf numFmtId="0" fontId="6" fillId="3" borderId="8">
      <alignment horizontal="left"/>
    </xf>
    <xf numFmtId="0" fontId="6" fillId="3" borderId="9">
      <alignment horizontal="left"/>
    </xf>
    <xf numFmtId="0" fontId="5" fillId="0" borderId="10">
      <alignment horizontal="right"/>
    </xf>
    <xf numFmtId="2" fontId="5" fillId="0" borderId="0" applyFill="0" applyBorder="0" applyProtection="0"/>
    <xf numFmtId="49" fontId="5" fillId="0" borderId="10" applyFont="0" applyFill="0" applyBorder="0" applyAlignment="0" applyProtection="0">
      <alignment horizontal="right"/>
    </xf>
  </cellStyleXfs>
  <cellXfs count="47">
    <xf numFmtId="0" fontId="0" fillId="0" borderId="0" xfId="0"/>
    <xf numFmtId="44" fontId="0" fillId="0" borderId="0" xfId="1" applyFont="1"/>
    <xf numFmtId="0" fontId="3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44" fontId="4" fillId="0" borderId="0" xfId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3" fillId="2" borderId="0" xfId="0" applyFont="1" applyFill="1"/>
    <xf numFmtId="0" fontId="5" fillId="0" borderId="0" xfId="2"/>
    <xf numFmtId="44" fontId="5" fillId="0" borderId="0" xfId="2" applyNumberFormat="1"/>
    <xf numFmtId="44" fontId="5" fillId="0" borderId="1" xfId="2" applyNumberFormat="1" applyBorder="1"/>
    <xf numFmtId="44" fontId="6" fillId="0" borderId="11" xfId="2" applyNumberFormat="1" applyFont="1" applyBorder="1"/>
    <xf numFmtId="0" fontId="6" fillId="3" borderId="12" xfId="11" applyBorder="1" applyAlignment="1">
      <alignment horizontal="left" wrapText="1"/>
    </xf>
    <xf numFmtId="0" fontId="5" fillId="0" borderId="0" xfId="12" applyAlignment="1">
      <alignment horizontal="left"/>
    </xf>
    <xf numFmtId="0" fontId="6" fillId="0" borderId="0" xfId="12" applyFont="1" applyAlignment="1">
      <alignment horizontal="left"/>
    </xf>
    <xf numFmtId="0" fontId="5" fillId="0" borderId="0" xfId="15" applyBorder="1">
      <alignment horizontal="left"/>
    </xf>
    <xf numFmtId="0" fontId="6" fillId="0" borderId="0" xfId="2" applyFont="1" applyAlignment="1">
      <alignment horizontal="left"/>
    </xf>
    <xf numFmtId="44" fontId="6" fillId="3" borderId="12" xfId="11" applyNumberFormat="1" applyBorder="1" applyAlignment="1">
      <alignment horizontal="center" wrapText="1"/>
    </xf>
    <xf numFmtId="44" fontId="6" fillId="3" borderId="12" xfId="14" applyNumberFormat="1" applyBorder="1" applyAlignment="1">
      <alignment horizontal="center" wrapText="1"/>
    </xf>
    <xf numFmtId="44" fontId="6" fillId="3" borderId="12" xfId="2" applyNumberFormat="1" applyFont="1" applyFill="1" applyBorder="1" applyAlignment="1">
      <alignment horizontal="center" wrapText="1"/>
    </xf>
    <xf numFmtId="44" fontId="5" fillId="0" borderId="0" xfId="6"/>
    <xf numFmtId="44" fontId="5" fillId="0" borderId="1" xfId="6" applyBorder="1"/>
    <xf numFmtId="0" fontId="0" fillId="4" borderId="0" xfId="0" applyFill="1"/>
    <xf numFmtId="14" fontId="0" fillId="0" borderId="0" xfId="0" applyNumberFormat="1"/>
    <xf numFmtId="0" fontId="5" fillId="0" borderId="10" xfId="19">
      <alignment horizontal="right"/>
    </xf>
    <xf numFmtId="4" fontId="5" fillId="0" borderId="0" xfId="2" applyNumberFormat="1"/>
    <xf numFmtId="44" fontId="6" fillId="0" borderId="0" xfId="6" applyFont="1"/>
    <xf numFmtId="0" fontId="6" fillId="0" borderId="0" xfId="2" applyFont="1"/>
    <xf numFmtId="0" fontId="5" fillId="0" borderId="1" xfId="15">
      <alignment horizontal="left"/>
    </xf>
    <xf numFmtId="2" fontId="5" fillId="0" borderId="0" xfId="20"/>
    <xf numFmtId="44" fontId="0" fillId="0" borderId="0" xfId="6" applyFont="1"/>
    <xf numFmtId="49" fontId="0" fillId="0" borderId="0" xfId="21" applyFont="1" applyBorder="1" applyAlignment="1"/>
    <xf numFmtId="0" fontId="6" fillId="0" borderId="1" xfId="8">
      <alignment horizontal="left"/>
    </xf>
    <xf numFmtId="164" fontId="0" fillId="0" borderId="0" xfId="0" applyNumberFormat="1"/>
    <xf numFmtId="44" fontId="0" fillId="0" borderId="0" xfId="0" applyNumberFormat="1"/>
    <xf numFmtId="44" fontId="0" fillId="0" borderId="12" xfId="1" applyFont="1" applyBorder="1"/>
    <xf numFmtId="44" fontId="0" fillId="0" borderId="13" xfId="1" applyFont="1" applyBorder="1"/>
    <xf numFmtId="0" fontId="0" fillId="0" borderId="12" xfId="0" applyBorder="1"/>
    <xf numFmtId="44" fontId="0" fillId="5" borderId="12" xfId="1" applyFont="1" applyFill="1" applyBorder="1"/>
    <xf numFmtId="44" fontId="0" fillId="7" borderId="12" xfId="1" applyFont="1" applyFill="1" applyBorder="1"/>
    <xf numFmtId="44" fontId="0" fillId="6" borderId="12" xfId="1" applyFont="1" applyFill="1" applyBorder="1"/>
    <xf numFmtId="164" fontId="0" fillId="0" borderId="12" xfId="1" applyNumberFormat="1" applyFont="1" applyBorder="1"/>
    <xf numFmtId="0" fontId="4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2" applyAlignment="1">
      <alignment horizontal="center" wrapText="1"/>
    </xf>
  </cellXfs>
  <cellStyles count="22">
    <cellStyle name="ALSTEC Bottom" xfId="3" xr:uid="{00000000-0005-0000-0000-000000000000}"/>
    <cellStyle name="ALSTEC Bottom Left" xfId="4" xr:uid="{00000000-0005-0000-0000-000001000000}"/>
    <cellStyle name="ALSTEC Bottom Right" xfId="5" xr:uid="{00000000-0005-0000-0000-000002000000}"/>
    <cellStyle name="ALSTEC Currency" xfId="6" xr:uid="{00000000-0005-0000-0000-000003000000}"/>
    <cellStyle name="ALSTEC Date" xfId="7" xr:uid="{00000000-0005-0000-0000-000004000000}"/>
    <cellStyle name="ALSTEC Detail Header" xfId="8" xr:uid="{00000000-0005-0000-0000-000005000000}"/>
    <cellStyle name="ALSTEC DOUBLE" xfId="9" xr:uid="{00000000-0005-0000-0000-000006000000}"/>
    <cellStyle name="ALSTEC DOUBLE 2" xfId="20" xr:uid="{00000000-0005-0000-0000-000007000000}"/>
    <cellStyle name="ALSTEC Left" xfId="10" xr:uid="{00000000-0005-0000-0000-000008000000}"/>
    <cellStyle name="ALSTEC Middle" xfId="11" xr:uid="{00000000-0005-0000-0000-000009000000}"/>
    <cellStyle name="ALSTEC Normal" xfId="12" xr:uid="{00000000-0005-0000-0000-00000A000000}"/>
    <cellStyle name="ALSTEC Normal 2" xfId="21" xr:uid="{00000000-0005-0000-0000-00000B000000}"/>
    <cellStyle name="ALSTEC Report Body" xfId="13" xr:uid="{00000000-0005-0000-0000-00000C000000}"/>
    <cellStyle name="ALSTEC Right" xfId="14" xr:uid="{00000000-0005-0000-0000-00000D000000}"/>
    <cellStyle name="ALSTEC Subtotal" xfId="15" xr:uid="{00000000-0005-0000-0000-00000E000000}"/>
    <cellStyle name="ALSTEC Top" xfId="16" xr:uid="{00000000-0005-0000-0000-00000F000000}"/>
    <cellStyle name="ALSTEC Top Left" xfId="17" xr:uid="{00000000-0005-0000-0000-000010000000}"/>
    <cellStyle name="ALSTEC Top Right" xfId="18" xr:uid="{00000000-0005-0000-0000-000011000000}"/>
    <cellStyle name="ALSTEC Total" xfId="19" xr:uid="{00000000-0005-0000-0000-000012000000}"/>
    <cellStyle name="Currency" xfId="1" builtinId="4"/>
    <cellStyle name="Normal" xfId="0" builtinId="0"/>
    <cellStyle name="Normal 2" xfId="2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ptability.sharepoint.com/TeamSite/NM/NMSA/Shared%20Documents/FY2017/GC%20Reporting/2016%2007/NMSA%20-%20Financial%20Summary%20Report%20-%20FY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da"/>
      <sheetName val="Revenue"/>
      <sheetName val="Expenditure"/>
      <sheetName val="Capital"/>
    </sheetNames>
    <sheetDataSet>
      <sheetData sheetId="0"/>
      <sheetData sheetId="1">
        <row r="1">
          <cell r="A1" t="str">
            <v>New Mexico School for the Arts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2"/>
  <sheetViews>
    <sheetView tabSelected="1" view="pageBreakPreview" zoomScaleNormal="100" zoomScaleSheetLayoutView="100" workbookViewId="0">
      <pane xSplit="1" ySplit="6" topLeftCell="B46" activePane="bottomRight" state="frozen"/>
      <selection pane="topRight" activeCell="B1" sqref="B1"/>
      <selection pane="bottomLeft" activeCell="A7" sqref="A7"/>
      <selection pane="bottomRight" activeCell="E45" sqref="E45"/>
    </sheetView>
  </sheetViews>
  <sheetFormatPr defaultColWidth="8.85546875" defaultRowHeight="15" x14ac:dyDescent="0.25"/>
  <cols>
    <col min="1" max="2" width="22.42578125" customWidth="1"/>
    <col min="3" max="3" width="14.7109375" style="1" customWidth="1"/>
    <col min="4" max="4" width="15.5703125" style="1" customWidth="1"/>
    <col min="5" max="7" width="14.7109375" style="1" customWidth="1"/>
    <col min="8" max="8" width="14.7109375" customWidth="1"/>
    <col min="9" max="9" width="14.7109375" style="2" customWidth="1"/>
    <col min="10" max="12" width="12.42578125" customWidth="1"/>
  </cols>
  <sheetData>
    <row r="1" spans="1:12" ht="15.75" x14ac:dyDescent="0.25">
      <c r="A1" s="45" t="str">
        <f>+[1]Revenue!A1</f>
        <v>New Mexico School for the Arts</v>
      </c>
      <c r="B1" s="45"/>
      <c r="C1" s="45"/>
      <c r="D1" s="45"/>
      <c r="E1" s="45"/>
      <c r="F1" s="45"/>
      <c r="G1" s="45"/>
    </row>
    <row r="2" spans="1:12" ht="15.75" x14ac:dyDescent="0.25">
      <c r="A2" s="45" t="s">
        <v>153</v>
      </c>
      <c r="B2" s="45"/>
      <c r="C2" s="45"/>
      <c r="D2" s="45"/>
      <c r="E2" s="45"/>
      <c r="F2" s="45"/>
      <c r="G2" s="45"/>
    </row>
    <row r="3" spans="1:12" ht="15.75" x14ac:dyDescent="0.25">
      <c r="A3" s="45" t="s">
        <v>163</v>
      </c>
      <c r="B3" s="45"/>
      <c r="C3" s="45"/>
      <c r="D3" s="45"/>
      <c r="E3" s="45"/>
      <c r="F3" s="45"/>
      <c r="G3" s="45"/>
    </row>
    <row r="6" spans="1:12" s="4" customFormat="1" ht="45" x14ac:dyDescent="0.25">
      <c r="A6" s="3" t="s">
        <v>0</v>
      </c>
      <c r="B6" s="3" t="s">
        <v>154</v>
      </c>
      <c r="C6" s="5" t="s">
        <v>155</v>
      </c>
      <c r="D6" s="5" t="s">
        <v>158</v>
      </c>
      <c r="E6" s="5" t="s">
        <v>156</v>
      </c>
      <c r="F6" s="5" t="s">
        <v>157</v>
      </c>
      <c r="G6" s="5" t="s">
        <v>159</v>
      </c>
      <c r="H6" s="6" t="s">
        <v>1</v>
      </c>
      <c r="I6" s="7" t="s">
        <v>2</v>
      </c>
      <c r="J6" s="6" t="s">
        <v>80</v>
      </c>
    </row>
    <row r="8" spans="1:12" x14ac:dyDescent="0.25">
      <c r="A8" s="44" t="s">
        <v>151</v>
      </c>
      <c r="B8" s="44"/>
      <c r="C8" s="44"/>
      <c r="D8" s="44"/>
      <c r="E8" s="44"/>
      <c r="F8" s="44"/>
      <c r="G8" s="44"/>
      <c r="H8" s="8"/>
      <c r="I8" s="9"/>
    </row>
    <row r="9" spans="1:12" x14ac:dyDescent="0.25">
      <c r="A9" s="39">
        <v>2015</v>
      </c>
      <c r="B9" s="38">
        <v>0</v>
      </c>
      <c r="C9" s="38">
        <v>29581</v>
      </c>
      <c r="D9" s="38"/>
      <c r="E9" s="38">
        <v>1272</v>
      </c>
      <c r="F9" s="38">
        <f>C9-E9</f>
        <v>28309</v>
      </c>
      <c r="G9" s="38"/>
      <c r="K9" s="36" t="s">
        <v>144</v>
      </c>
    </row>
    <row r="10" spans="1:12" x14ac:dyDescent="0.25">
      <c r="A10" s="39">
        <v>2016</v>
      </c>
      <c r="B10" s="37">
        <f>F9</f>
        <v>28309</v>
      </c>
      <c r="C10" s="37">
        <v>0</v>
      </c>
      <c r="D10" s="37"/>
      <c r="E10" s="37">
        <v>9103.17</v>
      </c>
      <c r="F10" s="37">
        <f>B10+C10-E10</f>
        <v>19205.830000000002</v>
      </c>
      <c r="G10" s="37"/>
      <c r="K10" s="36" t="s">
        <v>144</v>
      </c>
      <c r="L10" s="36" t="s">
        <v>144</v>
      </c>
    </row>
    <row r="11" spans="1:12" x14ac:dyDescent="0.25">
      <c r="A11" s="39">
        <v>2017</v>
      </c>
      <c r="B11" s="37">
        <f>F10</f>
        <v>19205.830000000002</v>
      </c>
      <c r="C11" s="37">
        <v>152935</v>
      </c>
      <c r="D11" s="37"/>
      <c r="E11" s="37">
        <v>24975.11</v>
      </c>
      <c r="F11" s="37">
        <f>B11+C11-E11</f>
        <v>147165.72000000003</v>
      </c>
      <c r="G11" s="37"/>
    </row>
    <row r="12" spans="1:12" x14ac:dyDescent="0.25">
      <c r="A12" s="39">
        <v>2018</v>
      </c>
      <c r="B12" s="37">
        <f>F11</f>
        <v>147165.72000000003</v>
      </c>
      <c r="C12" s="37">
        <f>164326</f>
        <v>164326</v>
      </c>
      <c r="D12" s="37"/>
      <c r="E12" s="37">
        <v>27293.63</v>
      </c>
      <c r="F12" s="37">
        <f>B12+C12-E12</f>
        <v>284198.09000000003</v>
      </c>
      <c r="G12" s="37"/>
    </row>
    <row r="13" spans="1:12" x14ac:dyDescent="0.25">
      <c r="A13" s="39">
        <v>2019</v>
      </c>
      <c r="B13" s="37">
        <f>F12</f>
        <v>284198.09000000003</v>
      </c>
      <c r="C13" s="37">
        <v>119879.05</v>
      </c>
      <c r="D13" s="37">
        <f>127679-C13+11.05</f>
        <v>7810.9999999999973</v>
      </c>
      <c r="E13" s="37">
        <v>19863.11</v>
      </c>
      <c r="F13" s="37">
        <f>B13+C13-E13</f>
        <v>384214.03</v>
      </c>
      <c r="G13" s="37">
        <f>F13+D13</f>
        <v>392025.03</v>
      </c>
      <c r="H13" t="s">
        <v>144</v>
      </c>
      <c r="J13" t="s">
        <v>144</v>
      </c>
    </row>
    <row r="15" spans="1:12" x14ac:dyDescent="0.25">
      <c r="A15" s="44" t="s">
        <v>150</v>
      </c>
      <c r="B15" s="44"/>
      <c r="C15" s="44"/>
      <c r="D15" s="44"/>
      <c r="E15" s="44"/>
      <c r="F15" s="44"/>
      <c r="G15" s="44"/>
      <c r="H15" s="8"/>
      <c r="I15" s="9"/>
    </row>
    <row r="16" spans="1:12" x14ac:dyDescent="0.25">
      <c r="A16" s="39">
        <v>2010</v>
      </c>
      <c r="B16" s="37">
        <v>0</v>
      </c>
      <c r="C16" s="37"/>
      <c r="D16" s="37"/>
      <c r="E16" s="37"/>
      <c r="F16" s="37">
        <f>B16+C16-E16</f>
        <v>0</v>
      </c>
      <c r="G16" s="37"/>
    </row>
    <row r="17" spans="1:12" x14ac:dyDescent="0.25">
      <c r="A17" s="39">
        <v>2011</v>
      </c>
      <c r="B17" s="37">
        <f>F16</f>
        <v>0</v>
      </c>
      <c r="C17" s="37"/>
      <c r="D17" s="37"/>
      <c r="E17" s="37"/>
      <c r="F17" s="37">
        <f>B17+C17-E17</f>
        <v>0</v>
      </c>
      <c r="G17" s="37"/>
      <c r="H17" s="24"/>
    </row>
    <row r="18" spans="1:12" x14ac:dyDescent="0.25">
      <c r="A18" s="39">
        <v>2012</v>
      </c>
      <c r="B18" s="37">
        <f>F17</f>
        <v>0</v>
      </c>
      <c r="C18" s="37">
        <v>2871</v>
      </c>
      <c r="D18" s="37"/>
      <c r="E18" s="37">
        <v>2871</v>
      </c>
      <c r="F18" s="37">
        <f t="shared" ref="F18:F22" si="0">B18+C18-E18</f>
        <v>0</v>
      </c>
      <c r="G18" s="37"/>
      <c r="H18" s="24"/>
    </row>
    <row r="19" spans="1:12" x14ac:dyDescent="0.25">
      <c r="A19" s="39">
        <v>2013</v>
      </c>
      <c r="B19" s="37">
        <f>F18</f>
        <v>0</v>
      </c>
      <c r="C19" s="37">
        <v>160739.07</v>
      </c>
      <c r="D19" s="37"/>
      <c r="E19" s="37">
        <v>66228.08</v>
      </c>
      <c r="F19" s="37">
        <f t="shared" si="0"/>
        <v>94510.99</v>
      </c>
      <c r="G19" s="37"/>
      <c r="H19" s="24"/>
    </row>
    <row r="20" spans="1:12" x14ac:dyDescent="0.25">
      <c r="A20" s="39">
        <v>2014</v>
      </c>
      <c r="B20" s="37">
        <f>F19</f>
        <v>94510.99</v>
      </c>
      <c r="C20" s="37">
        <v>167654.97</v>
      </c>
      <c r="D20" s="37"/>
      <c r="E20" s="37">
        <v>100070.83</v>
      </c>
      <c r="F20" s="37">
        <f t="shared" si="0"/>
        <v>162095.13</v>
      </c>
      <c r="G20" s="37"/>
      <c r="H20" s="24"/>
    </row>
    <row r="21" spans="1:12" x14ac:dyDescent="0.25">
      <c r="A21" s="39">
        <v>2015</v>
      </c>
      <c r="B21" s="37">
        <f>F20</f>
        <v>162095.13</v>
      </c>
      <c r="C21" s="37">
        <v>158529.39000000001</v>
      </c>
      <c r="D21" s="37"/>
      <c r="E21" s="37">
        <v>74039.16</v>
      </c>
      <c r="F21" s="40">
        <f t="shared" si="0"/>
        <v>246585.36000000002</v>
      </c>
      <c r="G21" s="37"/>
      <c r="H21" s="24"/>
      <c r="J21" t="s">
        <v>144</v>
      </c>
    </row>
    <row r="22" spans="1:12" x14ac:dyDescent="0.25">
      <c r="A22" s="39">
        <v>2016</v>
      </c>
      <c r="B22" s="40">
        <v>244486.07</v>
      </c>
      <c r="C22" s="37">
        <v>150330.71</v>
      </c>
      <c r="D22" s="37"/>
      <c r="E22" s="37">
        <v>41977.43</v>
      </c>
      <c r="F22" s="37">
        <f t="shared" si="0"/>
        <v>352839.35000000003</v>
      </c>
      <c r="G22" s="37"/>
      <c r="H22" s="24"/>
    </row>
    <row r="23" spans="1:12" x14ac:dyDescent="0.25">
      <c r="A23" s="39">
        <v>2016</v>
      </c>
      <c r="B23" s="37">
        <f>F22</f>
        <v>352839.35000000003</v>
      </c>
      <c r="C23" s="37">
        <v>0</v>
      </c>
      <c r="D23" s="37"/>
      <c r="E23" s="37">
        <v>0</v>
      </c>
      <c r="F23" s="41">
        <v>352839.35</v>
      </c>
      <c r="G23" s="37"/>
      <c r="H23" s="24"/>
      <c r="J23" t="s">
        <v>149</v>
      </c>
    </row>
    <row r="24" spans="1:12" x14ac:dyDescent="0.25">
      <c r="A24" s="39">
        <v>2017</v>
      </c>
      <c r="B24" s="37"/>
      <c r="C24" s="37">
        <f>9520</f>
        <v>9520</v>
      </c>
      <c r="D24" s="37">
        <v>5274</v>
      </c>
      <c r="E24" s="37">
        <v>9520</v>
      </c>
      <c r="F24" s="37">
        <v>0</v>
      </c>
      <c r="G24" s="37">
        <f>D24</f>
        <v>5274</v>
      </c>
      <c r="H24" s="24"/>
    </row>
    <row r="25" spans="1:12" x14ac:dyDescent="0.25">
      <c r="A25" s="39">
        <v>2018</v>
      </c>
      <c r="B25" s="37"/>
      <c r="C25" s="37">
        <v>0</v>
      </c>
      <c r="D25" s="37">
        <v>5427</v>
      </c>
      <c r="E25" s="37">
        <v>0</v>
      </c>
      <c r="F25" s="37">
        <f>C25-E25</f>
        <v>0</v>
      </c>
      <c r="G25" s="37">
        <f>G24+D25</f>
        <v>10701</v>
      </c>
      <c r="H25" s="24"/>
    </row>
    <row r="26" spans="1:12" x14ac:dyDescent="0.25">
      <c r="A26" s="39">
        <v>2019</v>
      </c>
      <c r="B26" s="37"/>
      <c r="C26" s="37">
        <f>F25</f>
        <v>0</v>
      </c>
      <c r="D26" s="42">
        <f>G25+5437</f>
        <v>16138</v>
      </c>
      <c r="E26" s="37"/>
      <c r="F26" s="37">
        <f>C26-E26</f>
        <v>0</v>
      </c>
      <c r="G26" s="37">
        <f>F26+D26</f>
        <v>16138</v>
      </c>
      <c r="H26" s="24"/>
      <c r="J26" t="s">
        <v>148</v>
      </c>
    </row>
    <row r="27" spans="1:12" x14ac:dyDescent="0.25">
      <c r="H27" s="24"/>
    </row>
    <row r="28" spans="1:12" x14ac:dyDescent="0.25">
      <c r="A28" s="44" t="s">
        <v>147</v>
      </c>
      <c r="B28" s="44"/>
      <c r="C28" s="44"/>
      <c r="D28" s="44"/>
      <c r="E28" s="44"/>
      <c r="F28" s="44"/>
      <c r="G28" s="44"/>
      <c r="H28" s="8"/>
      <c r="I28" s="9"/>
      <c r="J28" s="35" t="s">
        <v>144</v>
      </c>
    </row>
    <row r="29" spans="1:12" x14ac:dyDescent="0.25">
      <c r="A29" s="39">
        <v>2016</v>
      </c>
      <c r="B29" s="37"/>
      <c r="C29" s="37">
        <v>0</v>
      </c>
      <c r="D29" s="37"/>
      <c r="E29" s="37"/>
      <c r="F29" s="37">
        <v>0</v>
      </c>
      <c r="G29" s="37"/>
      <c r="H29" s="24"/>
      <c r="J29" s="35"/>
      <c r="K29" s="35"/>
      <c r="L29" s="35"/>
    </row>
    <row r="30" spans="1:12" x14ac:dyDescent="0.25">
      <c r="A30" s="39">
        <v>2017</v>
      </c>
      <c r="B30" s="41">
        <v>352839.35</v>
      </c>
      <c r="C30" s="37">
        <v>158493.63</v>
      </c>
      <c r="D30" s="37"/>
      <c r="E30" s="37">
        <v>39479.65</v>
      </c>
      <c r="F30" s="37">
        <f>B30+C30-E30</f>
        <v>471853.32999999996</v>
      </c>
      <c r="G30" s="37"/>
      <c r="H30" s="24"/>
    </row>
    <row r="31" spans="1:12" x14ac:dyDescent="0.25">
      <c r="A31" s="39">
        <v>2018</v>
      </c>
      <c r="B31" s="37">
        <f>F30</f>
        <v>471853.32999999996</v>
      </c>
      <c r="C31" s="37">
        <v>171199.16</v>
      </c>
      <c r="D31" s="37"/>
      <c r="E31" s="37">
        <v>40153.24</v>
      </c>
      <c r="F31" s="37">
        <f>B31+C31-E31</f>
        <v>602899.25</v>
      </c>
      <c r="G31" s="37"/>
      <c r="H31" s="24"/>
    </row>
    <row r="32" spans="1:12" x14ac:dyDescent="0.25">
      <c r="A32" s="39">
        <v>2019</v>
      </c>
      <c r="B32" s="37">
        <f>F31</f>
        <v>602899.25</v>
      </c>
      <c r="C32" s="37">
        <v>118473.33</v>
      </c>
      <c r="D32" s="37">
        <f>170193-C32+20.27</f>
        <v>51739.939999999995</v>
      </c>
      <c r="E32" s="37">
        <v>16768.3</v>
      </c>
      <c r="F32" s="37">
        <f>B32+C32-E32</f>
        <v>704604.27999999991</v>
      </c>
      <c r="G32" s="37">
        <f>F32+D32</f>
        <v>756344.21999999986</v>
      </c>
      <c r="H32" s="24"/>
      <c r="J32" t="s">
        <v>144</v>
      </c>
    </row>
    <row r="34" spans="1:10" x14ac:dyDescent="0.25">
      <c r="A34" s="44" t="s">
        <v>81</v>
      </c>
      <c r="B34" s="44"/>
      <c r="C34" s="44"/>
      <c r="D34" s="44"/>
      <c r="E34" s="44"/>
      <c r="F34" s="44"/>
      <c r="G34" s="44"/>
      <c r="H34" s="8"/>
      <c r="I34" s="9"/>
    </row>
    <row r="35" spans="1:10" x14ac:dyDescent="0.25">
      <c r="A35" s="39">
        <v>2010</v>
      </c>
      <c r="B35" s="37">
        <v>0</v>
      </c>
      <c r="C35" s="37">
        <v>0</v>
      </c>
      <c r="D35" s="37">
        <v>0</v>
      </c>
      <c r="E35" s="37">
        <v>0</v>
      </c>
      <c r="F35" s="37">
        <v>0</v>
      </c>
      <c r="G35" s="37"/>
      <c r="H35" s="24"/>
    </row>
    <row r="36" spans="1:10" x14ac:dyDescent="0.25">
      <c r="A36" s="39">
        <v>2011</v>
      </c>
      <c r="B36" s="37">
        <v>0</v>
      </c>
      <c r="C36" s="37">
        <v>0</v>
      </c>
      <c r="D36" s="37">
        <v>0</v>
      </c>
      <c r="E36" s="37">
        <v>0</v>
      </c>
      <c r="F36" s="37">
        <v>0</v>
      </c>
      <c r="G36" s="37"/>
      <c r="H36" s="24"/>
    </row>
    <row r="37" spans="1:10" x14ac:dyDescent="0.25">
      <c r="A37" s="39">
        <v>2012</v>
      </c>
      <c r="B37" s="37">
        <v>0</v>
      </c>
      <c r="C37" s="37">
        <v>0</v>
      </c>
      <c r="D37" s="37">
        <v>0</v>
      </c>
      <c r="E37" s="37">
        <v>0</v>
      </c>
      <c r="F37" s="37">
        <v>0</v>
      </c>
      <c r="G37" s="37"/>
      <c r="H37" s="24"/>
    </row>
    <row r="38" spans="1:10" x14ac:dyDescent="0.25">
      <c r="A38" s="39">
        <v>2013</v>
      </c>
      <c r="B38" s="37">
        <v>0</v>
      </c>
      <c r="C38" s="37">
        <v>0</v>
      </c>
      <c r="D38" s="37">
        <v>0</v>
      </c>
      <c r="E38" s="37">
        <v>0</v>
      </c>
      <c r="F38" s="37">
        <v>0</v>
      </c>
      <c r="G38" s="37"/>
      <c r="H38" s="24"/>
    </row>
    <row r="39" spans="1:10" x14ac:dyDescent="0.25">
      <c r="A39" s="39">
        <v>2014</v>
      </c>
      <c r="B39" s="37">
        <v>0</v>
      </c>
      <c r="C39" s="37">
        <v>0</v>
      </c>
      <c r="D39" s="37">
        <v>0</v>
      </c>
      <c r="E39" s="37">
        <v>0</v>
      </c>
      <c r="F39" s="37">
        <v>0</v>
      </c>
      <c r="G39" s="37"/>
      <c r="H39" s="24"/>
    </row>
    <row r="40" spans="1:10" x14ac:dyDescent="0.25">
      <c r="A40" s="39">
        <v>2015</v>
      </c>
      <c r="B40" s="37">
        <v>0</v>
      </c>
      <c r="C40" s="37">
        <v>0</v>
      </c>
      <c r="D40" s="37">
        <v>0</v>
      </c>
      <c r="E40" s="37">
        <v>0</v>
      </c>
      <c r="F40" s="37">
        <v>0</v>
      </c>
      <c r="G40" s="37"/>
      <c r="H40" s="24"/>
    </row>
    <row r="41" spans="1:10" x14ac:dyDescent="0.25">
      <c r="A41" s="39">
        <v>2016</v>
      </c>
      <c r="B41" s="37">
        <f>F40</f>
        <v>0</v>
      </c>
      <c r="C41" s="37">
        <v>106554.19</v>
      </c>
      <c r="D41" s="37">
        <v>0</v>
      </c>
      <c r="E41" s="37">
        <v>1065.55</v>
      </c>
      <c r="F41" s="37">
        <f>B41+C41+D41-E41</f>
        <v>105488.64</v>
      </c>
      <c r="G41" s="37"/>
      <c r="H41" s="24"/>
    </row>
    <row r="42" spans="1:10" x14ac:dyDescent="0.25">
      <c r="A42" s="39">
        <v>2017</v>
      </c>
      <c r="B42" s="37">
        <f>F41</f>
        <v>105488.64</v>
      </c>
      <c r="C42" s="37">
        <f>117764.78</f>
        <v>117764.78</v>
      </c>
      <c r="D42" s="37">
        <v>0</v>
      </c>
      <c r="E42" s="37">
        <v>1177.6300000000001</v>
      </c>
      <c r="F42" s="37">
        <f t="shared" ref="F42:F43" si="1">B42+C42+D42-E42</f>
        <v>222075.78999999998</v>
      </c>
      <c r="G42" s="37"/>
      <c r="H42" s="24"/>
      <c r="J42" t="s">
        <v>144</v>
      </c>
    </row>
    <row r="43" spans="1:10" x14ac:dyDescent="0.25">
      <c r="A43" s="39">
        <v>2018</v>
      </c>
      <c r="B43" s="37">
        <f>F42</f>
        <v>222075.78999999998</v>
      </c>
      <c r="C43" s="37">
        <f>127459.99</f>
        <v>127459.99</v>
      </c>
      <c r="D43" s="37">
        <v>0</v>
      </c>
      <c r="E43" s="37">
        <v>2986.76</v>
      </c>
      <c r="F43" s="37">
        <f t="shared" si="1"/>
        <v>346549.01999999996</v>
      </c>
      <c r="G43" s="37"/>
      <c r="H43" s="24"/>
    </row>
    <row r="44" spans="1:10" x14ac:dyDescent="0.25">
      <c r="A44" s="39">
        <v>2019</v>
      </c>
      <c r="B44" s="37">
        <f>F43</f>
        <v>346549.01999999996</v>
      </c>
      <c r="C44" s="37">
        <v>85856.71</v>
      </c>
      <c r="D44" s="37">
        <f>127679-C44+12.42</f>
        <v>41834.709999999992</v>
      </c>
      <c r="E44" s="37">
        <v>2864.54</v>
      </c>
      <c r="F44" s="37">
        <f>B44+C44-E44</f>
        <v>429541.19</v>
      </c>
      <c r="G44" s="37">
        <f>F44+D44</f>
        <v>471375.9</v>
      </c>
      <c r="H44" s="24"/>
    </row>
    <row r="45" spans="1:10" x14ac:dyDescent="0.25">
      <c r="J45" t="s">
        <v>144</v>
      </c>
    </row>
    <row r="46" spans="1:10" x14ac:dyDescent="0.25">
      <c r="A46" s="44" t="s">
        <v>3</v>
      </c>
      <c r="B46" s="44"/>
      <c r="C46" s="44"/>
      <c r="D46" s="44"/>
      <c r="E46" s="44"/>
      <c r="F46" s="44"/>
      <c r="G46" s="44"/>
      <c r="H46" s="8"/>
      <c r="I46" s="9"/>
    </row>
    <row r="47" spans="1:10" x14ac:dyDescent="0.25">
      <c r="A47" s="39" t="s">
        <v>4</v>
      </c>
      <c r="B47" s="39" t="s">
        <v>161</v>
      </c>
      <c r="C47" s="43">
        <v>210000</v>
      </c>
      <c r="D47" s="43"/>
      <c r="E47" s="43">
        <v>0</v>
      </c>
      <c r="F47" s="43">
        <f>210000-'FY2016'!O31</f>
        <v>148288.76</v>
      </c>
      <c r="G47" s="43"/>
      <c r="H47" s="25">
        <v>43281</v>
      </c>
    </row>
    <row r="48" spans="1:10" x14ac:dyDescent="0.25">
      <c r="A48" s="39" t="s">
        <v>5</v>
      </c>
      <c r="B48" s="39" t="s">
        <v>162</v>
      </c>
      <c r="C48" s="43">
        <v>100000</v>
      </c>
      <c r="D48" s="43"/>
      <c r="E48" s="43">
        <v>0</v>
      </c>
      <c r="F48" s="43">
        <v>100000</v>
      </c>
      <c r="G48" s="43" t="s">
        <v>152</v>
      </c>
      <c r="H48" s="25">
        <v>43281</v>
      </c>
    </row>
    <row r="51" spans="1:10" x14ac:dyDescent="0.25">
      <c r="A51" s="44" t="s">
        <v>160</v>
      </c>
      <c r="B51" s="44"/>
      <c r="C51" s="44"/>
      <c r="D51" s="44"/>
      <c r="E51" s="44"/>
      <c r="F51" s="44"/>
      <c r="G51" s="44"/>
      <c r="H51" s="8"/>
      <c r="I51" s="9"/>
    </row>
    <row r="52" spans="1:10" x14ac:dyDescent="0.25">
      <c r="A52" s="39">
        <v>2010</v>
      </c>
      <c r="B52" s="37"/>
      <c r="C52" s="37"/>
      <c r="D52" s="37"/>
      <c r="E52" s="37"/>
      <c r="F52" s="37"/>
      <c r="G52" s="37"/>
    </row>
    <row r="53" spans="1:10" x14ac:dyDescent="0.25">
      <c r="A53" s="39">
        <v>2011</v>
      </c>
      <c r="B53" s="37"/>
      <c r="C53" s="37"/>
      <c r="D53" s="37"/>
      <c r="E53" s="37"/>
      <c r="F53" s="37"/>
      <c r="G53" s="37"/>
      <c r="H53" s="24"/>
    </row>
    <row r="54" spans="1:10" x14ac:dyDescent="0.25">
      <c r="A54" s="39">
        <v>2012</v>
      </c>
      <c r="B54" s="37">
        <f t="shared" ref="B54:B61" si="2">F53</f>
        <v>0</v>
      </c>
      <c r="C54" s="37">
        <v>5118</v>
      </c>
      <c r="D54" s="37"/>
      <c r="E54" s="37">
        <v>5118</v>
      </c>
      <c r="F54" s="37">
        <f>B54+C54-E54</f>
        <v>0</v>
      </c>
      <c r="G54" s="37"/>
      <c r="H54" s="24"/>
      <c r="J54" t="s">
        <v>146</v>
      </c>
    </row>
    <row r="55" spans="1:10" x14ac:dyDescent="0.25">
      <c r="A55" s="39">
        <v>2013</v>
      </c>
      <c r="B55" s="37">
        <f t="shared" si="2"/>
        <v>0</v>
      </c>
      <c r="C55" s="37">
        <v>0</v>
      </c>
      <c r="D55" s="37"/>
      <c r="E55" s="37">
        <v>0</v>
      </c>
      <c r="F55" s="37">
        <f t="shared" ref="F55:F61" si="3">B55+C55-E55</f>
        <v>0</v>
      </c>
      <c r="G55" s="37"/>
      <c r="H55" s="24"/>
      <c r="J55" t="s">
        <v>146</v>
      </c>
    </row>
    <row r="56" spans="1:10" x14ac:dyDescent="0.25">
      <c r="A56" s="39">
        <v>2014</v>
      </c>
      <c r="B56" s="37">
        <f t="shared" si="2"/>
        <v>0</v>
      </c>
      <c r="C56" s="37">
        <v>0</v>
      </c>
      <c r="D56" s="37">
        <v>3216</v>
      </c>
      <c r="E56" s="37">
        <v>0</v>
      </c>
      <c r="F56" s="37">
        <f t="shared" si="3"/>
        <v>0</v>
      </c>
      <c r="G56" s="37">
        <f>F56+D56</f>
        <v>3216</v>
      </c>
      <c r="H56" s="24"/>
    </row>
    <row r="57" spans="1:10" x14ac:dyDescent="0.25">
      <c r="A57" s="39">
        <v>2015</v>
      </c>
      <c r="B57" s="37">
        <f t="shared" si="2"/>
        <v>0</v>
      </c>
      <c r="C57" s="37">
        <v>0</v>
      </c>
      <c r="D57" s="37">
        <v>0</v>
      </c>
      <c r="E57" s="37">
        <v>0</v>
      </c>
      <c r="F57" s="37">
        <f t="shared" si="3"/>
        <v>0</v>
      </c>
      <c r="G57" s="37">
        <f t="shared" ref="G57:G61" si="4">F57+D57</f>
        <v>0</v>
      </c>
      <c r="H57" s="24"/>
    </row>
    <row r="58" spans="1:10" x14ac:dyDescent="0.25">
      <c r="A58" s="39">
        <v>2016</v>
      </c>
      <c r="B58" s="37">
        <f t="shared" si="2"/>
        <v>0</v>
      </c>
      <c r="C58" s="37">
        <v>0</v>
      </c>
      <c r="D58" s="37">
        <v>3528</v>
      </c>
      <c r="E58" s="37">
        <v>3216.04</v>
      </c>
      <c r="F58" s="37">
        <f t="shared" si="3"/>
        <v>-3216.04</v>
      </c>
      <c r="G58" s="37">
        <f t="shared" si="4"/>
        <v>311.96000000000004</v>
      </c>
      <c r="H58" s="25">
        <v>42916</v>
      </c>
    </row>
    <row r="59" spans="1:10" x14ac:dyDescent="0.25">
      <c r="A59" s="39">
        <v>2017</v>
      </c>
      <c r="B59" s="37">
        <f t="shared" si="2"/>
        <v>-3216.04</v>
      </c>
      <c r="C59" s="37">
        <v>3216.04</v>
      </c>
      <c r="D59" s="37">
        <v>0</v>
      </c>
      <c r="E59" s="37">
        <v>0</v>
      </c>
      <c r="F59" s="37">
        <f t="shared" si="3"/>
        <v>0</v>
      </c>
      <c r="G59" s="37">
        <f t="shared" si="4"/>
        <v>0</v>
      </c>
      <c r="H59" s="25">
        <v>42916</v>
      </c>
    </row>
    <row r="60" spans="1:10" x14ac:dyDescent="0.25">
      <c r="A60" s="39">
        <v>2018</v>
      </c>
      <c r="B60" s="37">
        <f t="shared" si="2"/>
        <v>0</v>
      </c>
      <c r="C60" s="37">
        <v>0</v>
      </c>
      <c r="D60" s="37">
        <v>0</v>
      </c>
      <c r="E60" s="37">
        <v>0</v>
      </c>
      <c r="F60" s="37">
        <f t="shared" si="3"/>
        <v>0</v>
      </c>
      <c r="G60" s="37">
        <f t="shared" si="4"/>
        <v>0</v>
      </c>
    </row>
    <row r="61" spans="1:10" x14ac:dyDescent="0.25">
      <c r="A61" s="39">
        <v>2019</v>
      </c>
      <c r="B61" s="37">
        <f t="shared" si="2"/>
        <v>0</v>
      </c>
      <c r="C61" s="37">
        <v>0</v>
      </c>
      <c r="D61" s="37">
        <v>2859</v>
      </c>
      <c r="E61" s="37">
        <v>421.94</v>
      </c>
      <c r="F61" s="37">
        <f t="shared" si="3"/>
        <v>-421.94</v>
      </c>
      <c r="G61" s="37">
        <f t="shared" si="4"/>
        <v>2437.06</v>
      </c>
      <c r="J61" t="s">
        <v>145</v>
      </c>
    </row>
    <row r="62" spans="1:10" x14ac:dyDescent="0.25">
      <c r="H62" t="s">
        <v>144</v>
      </c>
    </row>
  </sheetData>
  <mergeCells count="9">
    <mergeCell ref="A28:G28"/>
    <mergeCell ref="A34:G34"/>
    <mergeCell ref="A46:G46"/>
    <mergeCell ref="A51:G51"/>
    <mergeCell ref="A1:G1"/>
    <mergeCell ref="A2:G2"/>
    <mergeCell ref="A3:G3"/>
    <mergeCell ref="A8:G8"/>
    <mergeCell ref="A15:G15"/>
  </mergeCells>
  <pageMargins left="0.7" right="0.7" top="0.75" bottom="0.75" header="0.3" footer="0.3"/>
  <pageSetup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41"/>
  <sheetViews>
    <sheetView topLeftCell="A25" workbookViewId="0">
      <selection activeCell="Q41" sqref="A1:Q41"/>
    </sheetView>
  </sheetViews>
  <sheetFormatPr defaultColWidth="8.85546875" defaultRowHeight="15" x14ac:dyDescent="0.25"/>
  <cols>
    <col min="1" max="1" width="45" bestFit="1" customWidth="1"/>
    <col min="2" max="2" width="12" bestFit="1" customWidth="1"/>
    <col min="3" max="4" width="9.85546875" bestFit="1" customWidth="1"/>
    <col min="5" max="5" width="9" bestFit="1" customWidth="1"/>
    <col min="6" max="6" width="9.85546875" bestFit="1" customWidth="1"/>
    <col min="7" max="7" width="9" bestFit="1" customWidth="1"/>
    <col min="8" max="8" width="7.7109375" bestFit="1" customWidth="1"/>
    <col min="9" max="9" width="9.85546875" bestFit="1" customWidth="1"/>
    <col min="10" max="10" width="9.42578125" bestFit="1" customWidth="1"/>
    <col min="11" max="12" width="10.7109375" bestFit="1" customWidth="1"/>
    <col min="13" max="13" width="9" bestFit="1" customWidth="1"/>
    <col min="14" max="14" width="8.28515625" bestFit="1" customWidth="1"/>
    <col min="15" max="15" width="7.7109375" bestFit="1" customWidth="1"/>
    <col min="16" max="16" width="9" bestFit="1" customWidth="1"/>
    <col min="17" max="17" width="12" bestFit="1" customWidth="1"/>
  </cols>
  <sheetData>
    <row r="1" spans="1:17" ht="45.75" x14ac:dyDescent="0.25">
      <c r="A1" s="14" t="s">
        <v>6</v>
      </c>
      <c r="B1" s="19" t="s">
        <v>7</v>
      </c>
      <c r="C1" s="19" t="s">
        <v>24</v>
      </c>
      <c r="D1" s="19" t="s">
        <v>25</v>
      </c>
      <c r="E1" s="19" t="s">
        <v>27</v>
      </c>
      <c r="F1" s="19" t="s">
        <v>28</v>
      </c>
      <c r="G1" s="19" t="s">
        <v>29</v>
      </c>
      <c r="H1" s="19" t="s">
        <v>56</v>
      </c>
      <c r="I1" s="19" t="s">
        <v>57</v>
      </c>
      <c r="J1" s="19" t="s">
        <v>32</v>
      </c>
      <c r="K1" s="19" t="s">
        <v>33</v>
      </c>
      <c r="L1" s="19" t="s">
        <v>50</v>
      </c>
      <c r="M1" s="19" t="s">
        <v>58</v>
      </c>
      <c r="N1" s="19" t="s">
        <v>59</v>
      </c>
      <c r="O1" s="19" t="s">
        <v>60</v>
      </c>
      <c r="P1" s="20" t="s">
        <v>61</v>
      </c>
      <c r="Q1" s="21" t="s">
        <v>9</v>
      </c>
    </row>
    <row r="3" spans="1:17" x14ac:dyDescent="0.25">
      <c r="A3" s="15" t="s">
        <v>62</v>
      </c>
      <c r="B3" s="22">
        <v>0</v>
      </c>
      <c r="C3" s="22">
        <v>0</v>
      </c>
      <c r="D3" s="22">
        <v>0</v>
      </c>
      <c r="E3" s="22">
        <v>0</v>
      </c>
      <c r="F3" s="22">
        <v>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2">
        <v>156656.07</v>
      </c>
      <c r="M3" s="22">
        <v>0</v>
      </c>
      <c r="N3" s="22">
        <v>0</v>
      </c>
      <c r="O3" s="22">
        <v>0</v>
      </c>
      <c r="P3" s="22">
        <v>0</v>
      </c>
      <c r="Q3" s="11">
        <v>156656.07</v>
      </c>
    </row>
    <row r="4" spans="1:17" x14ac:dyDescent="0.25">
      <c r="A4" s="15" t="s">
        <v>63</v>
      </c>
      <c r="B4" s="22">
        <v>0</v>
      </c>
      <c r="C4" s="22">
        <v>0</v>
      </c>
      <c r="D4" s="22">
        <v>1723.5</v>
      </c>
      <c r="E4" s="22">
        <v>0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  <c r="O4" s="22">
        <v>0</v>
      </c>
      <c r="P4" s="22">
        <v>0</v>
      </c>
      <c r="Q4" s="11">
        <v>1723.5</v>
      </c>
    </row>
    <row r="5" spans="1:17" x14ac:dyDescent="0.25">
      <c r="A5" s="15" t="s">
        <v>34</v>
      </c>
      <c r="B5" s="22">
        <v>0</v>
      </c>
      <c r="C5" s="22">
        <v>0</v>
      </c>
      <c r="D5" s="22">
        <v>27347.85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11">
        <v>27347.85</v>
      </c>
    </row>
    <row r="6" spans="1:17" x14ac:dyDescent="0.25">
      <c r="A6" s="15" t="s">
        <v>35</v>
      </c>
      <c r="B6" s="22">
        <v>0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6172.86</v>
      </c>
      <c r="N6" s="22">
        <v>-473</v>
      </c>
      <c r="O6" s="22">
        <v>101.25</v>
      </c>
      <c r="P6" s="22">
        <v>2959.25</v>
      </c>
      <c r="Q6" s="11">
        <v>8760.36</v>
      </c>
    </row>
    <row r="7" spans="1:17" x14ac:dyDescent="0.25">
      <c r="A7" s="15" t="s">
        <v>51</v>
      </c>
      <c r="B7" s="22">
        <v>966.04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11">
        <v>966.04</v>
      </c>
    </row>
    <row r="8" spans="1:17" x14ac:dyDescent="0.25">
      <c r="A8" s="15" t="s">
        <v>36</v>
      </c>
      <c r="B8" s="22">
        <v>600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11">
        <v>600</v>
      </c>
    </row>
    <row r="9" spans="1:17" x14ac:dyDescent="0.25">
      <c r="A9" s="15" t="s">
        <v>37</v>
      </c>
      <c r="B9" s="22">
        <v>61.8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110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11">
        <v>171.8</v>
      </c>
    </row>
    <row r="10" spans="1:17" x14ac:dyDescent="0.25">
      <c r="A10" s="15" t="s">
        <v>53</v>
      </c>
      <c r="B10" s="22">
        <v>6493.9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11">
        <v>6493.9</v>
      </c>
    </row>
    <row r="11" spans="1:17" x14ac:dyDescent="0.25">
      <c r="A11" s="15" t="s">
        <v>38</v>
      </c>
      <c r="B11" s="22">
        <v>1730200.46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11">
        <v>1730200.46</v>
      </c>
    </row>
    <row r="12" spans="1:17" x14ac:dyDescent="0.25">
      <c r="A12" s="15" t="s">
        <v>11</v>
      </c>
      <c r="B12" s="22">
        <v>14777.62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530.83000000000004</v>
      </c>
      <c r="I12" s="22">
        <v>14688.62</v>
      </c>
      <c r="J12" s="22">
        <v>0</v>
      </c>
      <c r="K12" s="22">
        <v>0</v>
      </c>
      <c r="L12" s="22">
        <v>4083</v>
      </c>
      <c r="M12" s="22">
        <v>0</v>
      </c>
      <c r="N12" s="22">
        <v>0</v>
      </c>
      <c r="O12" s="22">
        <v>0</v>
      </c>
      <c r="P12" s="22">
        <v>0</v>
      </c>
      <c r="Q12" s="11">
        <v>34080.07</v>
      </c>
    </row>
    <row r="13" spans="1:17" x14ac:dyDescent="0.25">
      <c r="A13" s="15" t="s">
        <v>39</v>
      </c>
      <c r="B13" s="22">
        <v>0</v>
      </c>
      <c r="C13" s="22">
        <v>7261.29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11">
        <v>7261.29</v>
      </c>
    </row>
    <row r="14" spans="1:17" x14ac:dyDescent="0.25">
      <c r="A14" s="15" t="s">
        <v>40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129803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11">
        <v>129803</v>
      </c>
    </row>
    <row r="15" spans="1:17" x14ac:dyDescent="0.25">
      <c r="A15" s="15" t="s">
        <v>41</v>
      </c>
      <c r="B15" s="22">
        <v>0</v>
      </c>
      <c r="C15" s="22">
        <v>7261.28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11">
        <v>7261.28</v>
      </c>
    </row>
    <row r="16" spans="1:17" x14ac:dyDescent="0.25">
      <c r="A16" s="15" t="s">
        <v>43</v>
      </c>
      <c r="B16" s="22">
        <v>0</v>
      </c>
      <c r="C16" s="22">
        <v>0</v>
      </c>
      <c r="D16" s="22">
        <v>16259</v>
      </c>
      <c r="E16" s="22">
        <v>9675.2800000000007</v>
      </c>
      <c r="F16" s="22">
        <v>13291.05</v>
      </c>
      <c r="G16" s="22">
        <v>6449.55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11">
        <v>45674.879999999997</v>
      </c>
    </row>
    <row r="17" spans="1:17" x14ac:dyDescent="0.25">
      <c r="A17" s="15" t="s">
        <v>54</v>
      </c>
      <c r="B17" s="23">
        <v>10178.86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12">
        <v>10178.86</v>
      </c>
    </row>
    <row r="18" spans="1:17" x14ac:dyDescent="0.25">
      <c r="A18" s="15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10"/>
    </row>
    <row r="19" spans="1:17" x14ac:dyDescent="0.25">
      <c r="A19" s="16" t="s">
        <v>12</v>
      </c>
      <c r="B19" s="23">
        <v>1763278.68</v>
      </c>
      <c r="C19" s="23">
        <v>14522.57</v>
      </c>
      <c r="D19" s="23">
        <v>45330.35</v>
      </c>
      <c r="E19" s="23">
        <v>9675.2800000000007</v>
      </c>
      <c r="F19" s="23">
        <v>13291.05</v>
      </c>
      <c r="G19" s="23">
        <v>6449.55</v>
      </c>
      <c r="H19" s="23">
        <v>530.83000000000004</v>
      </c>
      <c r="I19" s="23">
        <v>14688.62</v>
      </c>
      <c r="J19" s="23">
        <v>110</v>
      </c>
      <c r="K19" s="23">
        <v>129803</v>
      </c>
      <c r="L19" s="23">
        <v>160739.07</v>
      </c>
      <c r="M19" s="23">
        <v>6172.86</v>
      </c>
      <c r="N19" s="23">
        <v>-473</v>
      </c>
      <c r="O19" s="23">
        <v>101.25</v>
      </c>
      <c r="P19" s="23">
        <v>2959.25</v>
      </c>
      <c r="Q19" s="12">
        <v>2167179.36</v>
      </c>
    </row>
    <row r="20" spans="1:17" x14ac:dyDescent="0.25">
      <c r="A20" s="15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10"/>
    </row>
    <row r="21" spans="1:17" x14ac:dyDescent="0.25">
      <c r="A21" s="15" t="s">
        <v>13</v>
      </c>
      <c r="B21" s="22">
        <v>829581.04</v>
      </c>
      <c r="C21" s="22">
        <v>11904.66</v>
      </c>
      <c r="D21" s="22">
        <v>0</v>
      </c>
      <c r="E21" s="22">
        <v>9675.2800000000007</v>
      </c>
      <c r="F21" s="22">
        <v>11473.09</v>
      </c>
      <c r="G21" s="22">
        <v>5731.55</v>
      </c>
      <c r="H21" s="22">
        <v>530.83000000000004</v>
      </c>
      <c r="I21" s="22">
        <v>14688.62</v>
      </c>
      <c r="J21" s="22">
        <v>818.67</v>
      </c>
      <c r="K21" s="22">
        <v>0</v>
      </c>
      <c r="L21" s="22">
        <v>0</v>
      </c>
      <c r="M21" s="22">
        <v>5453.27</v>
      </c>
      <c r="N21" s="22">
        <v>0</v>
      </c>
      <c r="O21" s="22">
        <v>0</v>
      </c>
      <c r="P21" s="22">
        <v>2371.35</v>
      </c>
      <c r="Q21" s="11">
        <v>892228.36</v>
      </c>
    </row>
    <row r="22" spans="1:17" x14ac:dyDescent="0.25">
      <c r="A22" s="15" t="s">
        <v>44</v>
      </c>
      <c r="B22" s="22">
        <v>40862.43</v>
      </c>
      <c r="C22" s="22">
        <v>0</v>
      </c>
      <c r="D22" s="22">
        <v>0</v>
      </c>
      <c r="E22" s="22">
        <v>0</v>
      </c>
      <c r="F22" s="22">
        <v>1817.96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11">
        <v>42680.39</v>
      </c>
    </row>
    <row r="23" spans="1:17" x14ac:dyDescent="0.25">
      <c r="A23" s="15" t="s">
        <v>55</v>
      </c>
      <c r="B23" s="22">
        <v>82963.64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11">
        <v>82963.64</v>
      </c>
    </row>
    <row r="24" spans="1:17" x14ac:dyDescent="0.25">
      <c r="A24" s="15" t="s">
        <v>14</v>
      </c>
      <c r="B24" s="22">
        <v>26721.47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1566.55</v>
      </c>
      <c r="M24" s="22">
        <v>0</v>
      </c>
      <c r="N24" s="22">
        <v>0</v>
      </c>
      <c r="O24" s="22">
        <v>0</v>
      </c>
      <c r="P24" s="22">
        <v>0</v>
      </c>
      <c r="Q24" s="11">
        <v>28288.02</v>
      </c>
    </row>
    <row r="25" spans="1:17" x14ac:dyDescent="0.25">
      <c r="A25" s="15" t="s">
        <v>15</v>
      </c>
      <c r="B25" s="22">
        <v>283817.65000000002</v>
      </c>
      <c r="C25" s="22">
        <v>0</v>
      </c>
      <c r="D25" s="22">
        <v>0</v>
      </c>
      <c r="E25" s="22">
        <v>0</v>
      </c>
      <c r="F25" s="22">
        <v>0</v>
      </c>
      <c r="G25" s="22">
        <v>718</v>
      </c>
      <c r="H25" s="22">
        <v>0</v>
      </c>
      <c r="I25" s="22">
        <v>0</v>
      </c>
      <c r="J25" s="22">
        <v>644.66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11">
        <v>285180.31</v>
      </c>
    </row>
    <row r="26" spans="1:17" x14ac:dyDescent="0.25">
      <c r="A26" s="15" t="s">
        <v>16</v>
      </c>
      <c r="B26" s="22">
        <v>146410.42000000001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11">
        <v>146410.42000000001</v>
      </c>
    </row>
    <row r="27" spans="1:17" x14ac:dyDescent="0.25">
      <c r="A27" s="15" t="s">
        <v>17</v>
      </c>
      <c r="B27" s="22">
        <v>233861.98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11">
        <v>233861.98</v>
      </c>
    </row>
    <row r="28" spans="1:17" x14ac:dyDescent="0.25">
      <c r="A28" s="15" t="s">
        <v>46</v>
      </c>
      <c r="B28" s="22">
        <v>12371.53</v>
      </c>
      <c r="C28" s="22">
        <v>0</v>
      </c>
      <c r="D28" s="22">
        <v>45744.2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11">
        <v>58115.73</v>
      </c>
    </row>
    <row r="29" spans="1:17" x14ac:dyDescent="0.25">
      <c r="A29" s="15" t="s">
        <v>47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129803</v>
      </c>
      <c r="L29" s="23">
        <v>64661.53</v>
      </c>
      <c r="M29" s="23">
        <v>0</v>
      </c>
      <c r="N29" s="23">
        <v>0</v>
      </c>
      <c r="O29" s="23">
        <v>0</v>
      </c>
      <c r="P29" s="23">
        <v>0</v>
      </c>
      <c r="Q29" s="12">
        <v>194464.53</v>
      </c>
    </row>
    <row r="30" spans="1:17" x14ac:dyDescent="0.25">
      <c r="A30" s="15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10"/>
    </row>
    <row r="31" spans="1:17" x14ac:dyDescent="0.25">
      <c r="A31" s="16" t="s">
        <v>18</v>
      </c>
      <c r="B31" s="23">
        <v>1656590.16</v>
      </c>
      <c r="C31" s="23">
        <v>11904.66</v>
      </c>
      <c r="D31" s="23">
        <v>45744.2</v>
      </c>
      <c r="E31" s="23">
        <v>9675.2800000000007</v>
      </c>
      <c r="F31" s="23">
        <v>13291.05</v>
      </c>
      <c r="G31" s="23">
        <v>6449.55</v>
      </c>
      <c r="H31" s="23">
        <v>530.83000000000004</v>
      </c>
      <c r="I31" s="23">
        <v>14688.62</v>
      </c>
      <c r="J31" s="23">
        <v>1463.33</v>
      </c>
      <c r="K31" s="23">
        <v>129803</v>
      </c>
      <c r="L31" s="23">
        <v>66228.08</v>
      </c>
      <c r="M31" s="23">
        <v>5453.27</v>
      </c>
      <c r="N31" s="23">
        <v>0</v>
      </c>
      <c r="O31" s="23">
        <v>0</v>
      </c>
      <c r="P31" s="23">
        <v>2371.35</v>
      </c>
      <c r="Q31" s="12">
        <v>1964193.38</v>
      </c>
    </row>
    <row r="32" spans="1:17" x14ac:dyDescent="0.25">
      <c r="A32" s="15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10"/>
    </row>
    <row r="33" spans="1:17" x14ac:dyDescent="0.25">
      <c r="A33" s="16" t="s">
        <v>19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12">
        <v>0</v>
      </c>
    </row>
    <row r="34" spans="1:17" x14ac:dyDescent="0.25">
      <c r="A34" s="15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10"/>
    </row>
    <row r="35" spans="1:17" x14ac:dyDescent="0.25">
      <c r="A35" s="16" t="s">
        <v>20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10"/>
    </row>
    <row r="36" spans="1:17" x14ac:dyDescent="0.25">
      <c r="A36" s="16" t="s">
        <v>21</v>
      </c>
      <c r="B36" s="23">
        <v>106688.52</v>
      </c>
      <c r="C36" s="23">
        <v>2617.91</v>
      </c>
      <c r="D36" s="23">
        <v>-413.85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-1353.33</v>
      </c>
      <c r="K36" s="23">
        <v>0</v>
      </c>
      <c r="L36" s="23">
        <v>94510.99</v>
      </c>
      <c r="M36" s="23">
        <v>719.59</v>
      </c>
      <c r="N36" s="23">
        <v>-473</v>
      </c>
      <c r="O36" s="23">
        <v>101.25</v>
      </c>
      <c r="P36" s="23">
        <v>587.9</v>
      </c>
      <c r="Q36" s="12">
        <v>202985.98</v>
      </c>
    </row>
    <row r="37" spans="1:17" x14ac:dyDescent="0.25">
      <c r="A37" s="15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10"/>
    </row>
    <row r="38" spans="1:17" x14ac:dyDescent="0.25">
      <c r="A38" s="15" t="s">
        <v>22</v>
      </c>
      <c r="B38" s="22">
        <v>270860.03999999998</v>
      </c>
      <c r="C38" s="22">
        <v>0</v>
      </c>
      <c r="D38" s="22">
        <v>5873.78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6071.44</v>
      </c>
      <c r="K38" s="22">
        <v>0</v>
      </c>
      <c r="L38" s="22">
        <v>0</v>
      </c>
      <c r="M38" s="22">
        <v>3859</v>
      </c>
      <c r="N38" s="22">
        <v>473</v>
      </c>
      <c r="O38" s="22">
        <v>0</v>
      </c>
      <c r="P38" s="22">
        <v>394</v>
      </c>
      <c r="Q38" s="11">
        <v>287531.26</v>
      </c>
    </row>
    <row r="39" spans="1:17" x14ac:dyDescent="0.25">
      <c r="A39" s="17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5.75" thickBot="1" x14ac:dyDescent="0.3">
      <c r="A40" s="18" t="s">
        <v>23</v>
      </c>
      <c r="B40" s="13">
        <v>377548.56</v>
      </c>
      <c r="C40" s="13">
        <v>2617.91</v>
      </c>
      <c r="D40" s="13">
        <v>5459.93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4718.1099999999997</v>
      </c>
      <c r="K40" s="13">
        <v>0</v>
      </c>
      <c r="L40" s="13">
        <v>94510.99</v>
      </c>
      <c r="M40" s="13">
        <v>4578.59</v>
      </c>
      <c r="N40" s="13">
        <v>0</v>
      </c>
      <c r="O40" s="13">
        <v>101.25</v>
      </c>
      <c r="P40" s="13">
        <v>981.9</v>
      </c>
      <c r="Q40" s="13">
        <v>490517.24</v>
      </c>
    </row>
    <row r="41" spans="1:17" ht="15.75" thickTop="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</sheetData>
  <phoneticPr fontId="7" type="noConversion"/>
  <pageMargins left="0.7" right="0.7" top="0.75" bottom="0.75" header="0.3" footer="0.3"/>
  <pageSetup orientation="landscape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11"/>
  <sheetViews>
    <sheetView workbookViewId="0">
      <selection activeCell="G11" sqref="A1:G11"/>
    </sheetView>
  </sheetViews>
  <sheetFormatPr defaultColWidth="8.85546875" defaultRowHeight="11.25" x14ac:dyDescent="0.2"/>
  <cols>
    <col min="1" max="2" width="31.7109375" style="10" customWidth="1"/>
    <col min="3" max="3" width="16.42578125" style="10" customWidth="1"/>
    <col min="4" max="4" width="11.140625" style="10" customWidth="1"/>
    <col min="5" max="5" width="11.28515625" style="10" bestFit="1" customWidth="1"/>
    <col min="6" max="6" width="16.42578125" style="10" customWidth="1"/>
    <col min="7" max="7" width="12.7109375" style="10" customWidth="1"/>
    <col min="8" max="16384" width="8.85546875" style="10"/>
  </cols>
  <sheetData>
    <row r="1" spans="1:7" ht="22.5" customHeight="1" x14ac:dyDescent="0.2">
      <c r="A1" s="46" t="s">
        <v>143</v>
      </c>
      <c r="B1" s="46"/>
      <c r="C1" s="46"/>
      <c r="D1" s="46"/>
      <c r="E1" s="46"/>
      <c r="F1" s="46"/>
      <c r="G1" s="46"/>
    </row>
    <row r="3" spans="1:7" x14ac:dyDescent="0.2">
      <c r="A3" s="34" t="s">
        <v>119</v>
      </c>
      <c r="B3" s="34" t="s">
        <v>6</v>
      </c>
      <c r="C3" s="34" t="s">
        <v>118</v>
      </c>
      <c r="D3" s="34" t="s">
        <v>117</v>
      </c>
      <c r="E3" s="34" t="s">
        <v>116</v>
      </c>
      <c r="F3" s="34" t="s">
        <v>115</v>
      </c>
      <c r="G3" s="34" t="s">
        <v>114</v>
      </c>
    </row>
    <row r="5" spans="1:7" ht="15" x14ac:dyDescent="0.25">
      <c r="A5" s="33" t="s">
        <v>125</v>
      </c>
      <c r="B5" s="33" t="s">
        <v>111</v>
      </c>
      <c r="C5" s="32">
        <v>-2871</v>
      </c>
      <c r="D5" s="32">
        <v>-2871</v>
      </c>
      <c r="E5" s="32">
        <v>-2871</v>
      </c>
      <c r="F5" s="32">
        <v>0</v>
      </c>
      <c r="G5" s="32">
        <v>0</v>
      </c>
    </row>
    <row r="6" spans="1:7" ht="15" x14ac:dyDescent="0.25">
      <c r="A6" s="33" t="s">
        <v>96</v>
      </c>
      <c r="B6" s="33" t="s">
        <v>83</v>
      </c>
      <c r="C6" s="32">
        <v>2871</v>
      </c>
      <c r="D6" s="32">
        <v>2871</v>
      </c>
      <c r="E6" s="32">
        <v>2871</v>
      </c>
      <c r="F6" s="32">
        <v>0</v>
      </c>
      <c r="G6" s="32">
        <v>0</v>
      </c>
    </row>
    <row r="7" spans="1:7" x14ac:dyDescent="0.2">
      <c r="C7" s="30"/>
      <c r="D7" s="30"/>
      <c r="E7" s="30"/>
      <c r="F7" s="30"/>
      <c r="G7" s="30"/>
    </row>
    <row r="8" spans="1:7" x14ac:dyDescent="0.2">
      <c r="A8" s="29" t="s">
        <v>95</v>
      </c>
      <c r="C8" s="28">
        <f>SUM($C$5:$C$6)</f>
        <v>0</v>
      </c>
      <c r="D8" s="28">
        <f>SUM($D$5:$D$6)</f>
        <v>0</v>
      </c>
      <c r="E8" s="28">
        <f>SUM($E$5:$E$6)</f>
        <v>0</v>
      </c>
      <c r="F8" s="28">
        <f>SUM($F$5:$F$6)</f>
        <v>0</v>
      </c>
      <c r="G8" s="28">
        <f>SUM($G$5:$G$6)</f>
        <v>0</v>
      </c>
    </row>
    <row r="9" spans="1:7" x14ac:dyDescent="0.2">
      <c r="C9" s="30"/>
      <c r="D9" s="30"/>
      <c r="E9" s="30"/>
      <c r="F9" s="30"/>
      <c r="G9" s="30"/>
    </row>
    <row r="10" spans="1:7" ht="12" thickBot="1" x14ac:dyDescent="0.25">
      <c r="A10" s="29" t="s">
        <v>9</v>
      </c>
      <c r="C10" s="28">
        <f>SUM(_Apta10_1_3_1)</f>
        <v>0</v>
      </c>
      <c r="D10" s="28">
        <f>SUM(_Apta10_1_4_1)</f>
        <v>0</v>
      </c>
      <c r="E10" s="28">
        <f>SUM(_Apta10_1_5_1)</f>
        <v>0</v>
      </c>
      <c r="F10" s="28">
        <f>SUM(_Apta10_1_6_1)</f>
        <v>0</v>
      </c>
      <c r="G10" s="28">
        <f>SUM(_Apta10_1_7_1)</f>
        <v>0</v>
      </c>
    </row>
    <row r="11" spans="1:7" ht="12" thickTop="1" x14ac:dyDescent="0.2">
      <c r="C11" s="26"/>
      <c r="D11" s="26"/>
      <c r="E11" s="26"/>
      <c r="F11" s="26"/>
      <c r="G11" s="26"/>
    </row>
  </sheetData>
  <mergeCells count="1">
    <mergeCell ref="A1:G1"/>
  </mergeCells>
  <phoneticPr fontId="7" type="noConversion"/>
  <printOptions horizontalCentered="1"/>
  <pageMargins left="0.5" right="0.5" top="0.75" bottom="1" header="0.5" footer="0.5"/>
  <pageSetup scale="90" fitToHeight="0" orientation="landscape" r:id="rId1"/>
  <headerFooter alignWithMargins="0">
    <oddHeader>&amp;LNM School for the Arts&amp;CAccount Summary Report&amp;R&amp;D &amp;T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41"/>
  <sheetViews>
    <sheetView topLeftCell="A25" workbookViewId="0">
      <selection activeCell="N41" sqref="A1:N41"/>
    </sheetView>
  </sheetViews>
  <sheetFormatPr defaultColWidth="8.85546875" defaultRowHeight="15" x14ac:dyDescent="0.25"/>
  <cols>
    <col min="1" max="1" width="53.140625" bestFit="1" customWidth="1"/>
    <col min="2" max="2" width="12" bestFit="1" customWidth="1"/>
    <col min="3" max="6" width="9.85546875" bestFit="1" customWidth="1"/>
    <col min="7" max="7" width="9" bestFit="1" customWidth="1"/>
    <col min="8" max="8" width="8.42578125" bestFit="1" customWidth="1"/>
    <col min="9" max="11" width="9" bestFit="1" customWidth="1"/>
    <col min="12" max="12" width="9.85546875" bestFit="1" customWidth="1"/>
    <col min="14" max="14" width="12" bestFit="1" customWidth="1"/>
  </cols>
  <sheetData>
    <row r="1" spans="1:14" ht="57" x14ac:dyDescent="0.25">
      <c r="A1" s="14" t="s">
        <v>6</v>
      </c>
      <c r="B1" s="19" t="s">
        <v>7</v>
      </c>
      <c r="C1" s="19" t="s">
        <v>25</v>
      </c>
      <c r="D1" s="19" t="s">
        <v>26</v>
      </c>
      <c r="E1" s="19" t="s">
        <v>27</v>
      </c>
      <c r="F1" s="19" t="s">
        <v>28</v>
      </c>
      <c r="G1" s="19" t="s">
        <v>29</v>
      </c>
      <c r="H1" s="19" t="s">
        <v>31</v>
      </c>
      <c r="I1" s="19" t="s">
        <v>48</v>
      </c>
      <c r="J1" s="19" t="s">
        <v>49</v>
      </c>
      <c r="K1" s="19" t="s">
        <v>32</v>
      </c>
      <c r="L1" s="19" t="s">
        <v>33</v>
      </c>
      <c r="M1" s="20" t="s">
        <v>50</v>
      </c>
      <c r="N1" s="21" t="s">
        <v>9</v>
      </c>
    </row>
    <row r="3" spans="1:14" x14ac:dyDescent="0.25">
      <c r="A3" s="15" t="s">
        <v>34</v>
      </c>
      <c r="B3" s="22">
        <v>0</v>
      </c>
      <c r="C3" s="22">
        <v>33999.1</v>
      </c>
      <c r="D3" s="22">
        <v>0</v>
      </c>
      <c r="E3" s="22">
        <v>0</v>
      </c>
      <c r="F3" s="22">
        <v>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2">
        <v>0</v>
      </c>
      <c r="M3" s="22">
        <v>0</v>
      </c>
      <c r="N3" s="11">
        <v>33999.1</v>
      </c>
    </row>
    <row r="4" spans="1:14" x14ac:dyDescent="0.25">
      <c r="A4" s="15" t="s">
        <v>35</v>
      </c>
      <c r="B4" s="22">
        <v>0</v>
      </c>
      <c r="C4" s="22">
        <v>0</v>
      </c>
      <c r="D4" s="22">
        <v>13311.58</v>
      </c>
      <c r="E4" s="22">
        <v>0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0</v>
      </c>
      <c r="M4" s="22">
        <v>0</v>
      </c>
      <c r="N4" s="11">
        <v>13311.58</v>
      </c>
    </row>
    <row r="5" spans="1:14" x14ac:dyDescent="0.25">
      <c r="A5" s="15" t="s">
        <v>51</v>
      </c>
      <c r="B5" s="22">
        <v>44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11">
        <v>44</v>
      </c>
    </row>
    <row r="6" spans="1:14" x14ac:dyDescent="0.25">
      <c r="A6" s="15" t="s">
        <v>36</v>
      </c>
      <c r="B6" s="22">
        <v>600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11">
        <v>600</v>
      </c>
    </row>
    <row r="7" spans="1:14" x14ac:dyDescent="0.25">
      <c r="A7" s="15" t="s">
        <v>10</v>
      </c>
      <c r="B7" s="22">
        <v>0</v>
      </c>
      <c r="C7" s="22">
        <v>0</v>
      </c>
      <c r="D7" s="22">
        <v>500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11">
        <v>500</v>
      </c>
    </row>
    <row r="8" spans="1:14" x14ac:dyDescent="0.25">
      <c r="A8" s="15" t="s">
        <v>37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1920</v>
      </c>
      <c r="L8" s="22">
        <v>0</v>
      </c>
      <c r="M8" s="22">
        <v>0</v>
      </c>
      <c r="N8" s="11">
        <v>1920</v>
      </c>
    </row>
    <row r="9" spans="1:14" x14ac:dyDescent="0.25">
      <c r="A9" s="15" t="s">
        <v>52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18.72</v>
      </c>
      <c r="L9" s="22">
        <v>0</v>
      </c>
      <c r="M9" s="22">
        <v>0</v>
      </c>
      <c r="N9" s="11">
        <v>18.72</v>
      </c>
    </row>
    <row r="10" spans="1:14" x14ac:dyDescent="0.25">
      <c r="A10" s="15" t="s">
        <v>53</v>
      </c>
      <c r="B10" s="22">
        <v>686.95</v>
      </c>
      <c r="C10" s="22">
        <v>0</v>
      </c>
      <c r="D10" s="22">
        <v>0</v>
      </c>
      <c r="E10" s="22">
        <v>0</v>
      </c>
      <c r="F10" s="22">
        <v>0</v>
      </c>
      <c r="G10" s="22">
        <v>125</v>
      </c>
      <c r="H10" s="22">
        <v>0</v>
      </c>
      <c r="I10" s="22">
        <v>0</v>
      </c>
      <c r="J10" s="22">
        <v>0</v>
      </c>
      <c r="K10" s="22">
        <v>2096.9499999999998</v>
      </c>
      <c r="L10" s="22">
        <v>0</v>
      </c>
      <c r="M10" s="22">
        <v>0</v>
      </c>
      <c r="N10" s="11">
        <v>2908.9</v>
      </c>
    </row>
    <row r="11" spans="1:14" x14ac:dyDescent="0.25">
      <c r="A11" s="15" t="s">
        <v>38</v>
      </c>
      <c r="B11" s="22">
        <v>1819587.37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11">
        <v>1819587.37</v>
      </c>
    </row>
    <row r="12" spans="1:14" x14ac:dyDescent="0.25">
      <c r="A12" s="15" t="s">
        <v>11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3000</v>
      </c>
      <c r="J12" s="22">
        <v>2118</v>
      </c>
      <c r="K12" s="22">
        <v>0</v>
      </c>
      <c r="L12" s="22">
        <v>0</v>
      </c>
      <c r="M12" s="22">
        <v>2871</v>
      </c>
      <c r="N12" s="11">
        <v>7989</v>
      </c>
    </row>
    <row r="13" spans="1:14" x14ac:dyDescent="0.25">
      <c r="A13" s="15" t="s">
        <v>40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95702</v>
      </c>
      <c r="M13" s="22">
        <v>0</v>
      </c>
      <c r="N13" s="11">
        <v>95702</v>
      </c>
    </row>
    <row r="14" spans="1:14" x14ac:dyDescent="0.25">
      <c r="A14" s="15" t="s">
        <v>42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515.21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11">
        <v>515.21</v>
      </c>
    </row>
    <row r="15" spans="1:14" x14ac:dyDescent="0.25">
      <c r="A15" s="15" t="s">
        <v>43</v>
      </c>
      <c r="B15" s="22">
        <v>0</v>
      </c>
      <c r="C15" s="22">
        <v>17572</v>
      </c>
      <c r="D15" s="22">
        <v>0</v>
      </c>
      <c r="E15" s="22">
        <v>14677</v>
      </c>
      <c r="F15" s="22">
        <v>20728</v>
      </c>
      <c r="G15" s="22">
        <v>8407.4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11">
        <v>61384.4</v>
      </c>
    </row>
    <row r="16" spans="1:14" x14ac:dyDescent="0.25">
      <c r="A16" s="15" t="s">
        <v>54</v>
      </c>
      <c r="B16" s="23">
        <v>86473.14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12">
        <v>86473.14</v>
      </c>
    </row>
    <row r="17" spans="1:14" x14ac:dyDescent="0.25">
      <c r="A17" s="15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10"/>
    </row>
    <row r="18" spans="1:14" x14ac:dyDescent="0.25">
      <c r="A18" s="16" t="s">
        <v>12</v>
      </c>
      <c r="B18" s="23">
        <v>1907391.46</v>
      </c>
      <c r="C18" s="23">
        <v>51571.1</v>
      </c>
      <c r="D18" s="23">
        <v>13811.58</v>
      </c>
      <c r="E18" s="23">
        <v>14677</v>
      </c>
      <c r="F18" s="23">
        <v>20728</v>
      </c>
      <c r="G18" s="23">
        <v>8532.4</v>
      </c>
      <c r="H18" s="23">
        <v>515.21</v>
      </c>
      <c r="I18" s="23">
        <v>3000</v>
      </c>
      <c r="J18" s="23">
        <v>2118</v>
      </c>
      <c r="K18" s="23">
        <v>4035.67</v>
      </c>
      <c r="L18" s="23">
        <v>95702</v>
      </c>
      <c r="M18" s="23">
        <v>2871</v>
      </c>
      <c r="N18" s="12">
        <v>2124953.42</v>
      </c>
    </row>
    <row r="19" spans="1:14" x14ac:dyDescent="0.25">
      <c r="A19" s="15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10"/>
    </row>
    <row r="20" spans="1:14" x14ac:dyDescent="0.25">
      <c r="A20" s="15" t="s">
        <v>13</v>
      </c>
      <c r="B20" s="22">
        <v>905376.17</v>
      </c>
      <c r="C20" s="22">
        <v>0</v>
      </c>
      <c r="D20" s="22">
        <v>11725.69</v>
      </c>
      <c r="E20" s="22">
        <v>0</v>
      </c>
      <c r="F20" s="22">
        <v>20728</v>
      </c>
      <c r="G20" s="22">
        <v>7330.4</v>
      </c>
      <c r="H20" s="22">
        <v>515.21</v>
      </c>
      <c r="I20" s="22">
        <v>0</v>
      </c>
      <c r="J20" s="22">
        <v>2118</v>
      </c>
      <c r="K20" s="22">
        <v>49.55</v>
      </c>
      <c r="L20" s="22">
        <v>0</v>
      </c>
      <c r="M20" s="22">
        <v>0</v>
      </c>
      <c r="N20" s="11">
        <v>947843.02</v>
      </c>
    </row>
    <row r="21" spans="1:14" x14ac:dyDescent="0.25">
      <c r="A21" s="15" t="s">
        <v>44</v>
      </c>
      <c r="B21" s="22">
        <v>35112.69</v>
      </c>
      <c r="C21" s="22">
        <v>0</v>
      </c>
      <c r="D21" s="22">
        <v>0</v>
      </c>
      <c r="E21" s="22">
        <v>14677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11">
        <v>49789.69</v>
      </c>
    </row>
    <row r="22" spans="1:14" x14ac:dyDescent="0.25">
      <c r="A22" s="15" t="s">
        <v>55</v>
      </c>
      <c r="B22" s="22">
        <v>19263.759999999998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3000</v>
      </c>
      <c r="J22" s="22">
        <v>0</v>
      </c>
      <c r="K22" s="22">
        <v>0</v>
      </c>
      <c r="L22" s="22">
        <v>0</v>
      </c>
      <c r="M22" s="22">
        <v>0</v>
      </c>
      <c r="N22" s="11">
        <v>22263.759999999998</v>
      </c>
    </row>
    <row r="23" spans="1:14" x14ac:dyDescent="0.25">
      <c r="A23" s="15" t="s">
        <v>14</v>
      </c>
      <c r="B23" s="22">
        <v>39708.050000000003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11">
        <v>39708.050000000003</v>
      </c>
    </row>
    <row r="24" spans="1:14" x14ac:dyDescent="0.25">
      <c r="A24" s="15" t="s">
        <v>15</v>
      </c>
      <c r="B24" s="22">
        <v>285741.8</v>
      </c>
      <c r="C24" s="22">
        <v>0</v>
      </c>
      <c r="D24" s="22">
        <v>0</v>
      </c>
      <c r="E24" s="22">
        <v>0</v>
      </c>
      <c r="F24" s="22">
        <v>0</v>
      </c>
      <c r="G24" s="22">
        <v>1077</v>
      </c>
      <c r="H24" s="22">
        <v>0</v>
      </c>
      <c r="I24" s="22">
        <v>0</v>
      </c>
      <c r="J24" s="22">
        <v>0</v>
      </c>
      <c r="K24" s="22">
        <v>489.28</v>
      </c>
      <c r="L24" s="22">
        <v>0</v>
      </c>
      <c r="M24" s="22">
        <v>0</v>
      </c>
      <c r="N24" s="11">
        <v>287308.08</v>
      </c>
    </row>
    <row r="25" spans="1:14" x14ac:dyDescent="0.25">
      <c r="A25" s="15" t="s">
        <v>16</v>
      </c>
      <c r="B25" s="22">
        <v>126078.56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11">
        <v>126078.56</v>
      </c>
    </row>
    <row r="26" spans="1:14" x14ac:dyDescent="0.25">
      <c r="A26" s="15" t="s">
        <v>17</v>
      </c>
      <c r="B26" s="22">
        <v>231501.4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11">
        <v>231501.4</v>
      </c>
    </row>
    <row r="27" spans="1:14" x14ac:dyDescent="0.25">
      <c r="A27" s="15" t="s">
        <v>45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577.27</v>
      </c>
      <c r="L27" s="22">
        <v>0</v>
      </c>
      <c r="M27" s="22">
        <v>0</v>
      </c>
      <c r="N27" s="11">
        <v>577.27</v>
      </c>
    </row>
    <row r="28" spans="1:14" x14ac:dyDescent="0.25">
      <c r="A28" s="15" t="s">
        <v>46</v>
      </c>
      <c r="B28" s="22">
        <v>23651</v>
      </c>
      <c r="C28" s="22">
        <v>45697.32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11">
        <v>69348.320000000007</v>
      </c>
    </row>
    <row r="29" spans="1:14" x14ac:dyDescent="0.25">
      <c r="A29" s="15" t="s">
        <v>47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95702</v>
      </c>
      <c r="M29" s="23">
        <v>2871</v>
      </c>
      <c r="N29" s="12">
        <v>98573</v>
      </c>
    </row>
    <row r="30" spans="1:14" x14ac:dyDescent="0.25">
      <c r="A30" s="15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0"/>
    </row>
    <row r="31" spans="1:14" x14ac:dyDescent="0.25">
      <c r="A31" s="16" t="s">
        <v>18</v>
      </c>
      <c r="B31" s="23">
        <v>1666433.43</v>
      </c>
      <c r="C31" s="23">
        <v>45697.32</v>
      </c>
      <c r="D31" s="23">
        <v>11725.69</v>
      </c>
      <c r="E31" s="23">
        <v>14677</v>
      </c>
      <c r="F31" s="23">
        <v>20728</v>
      </c>
      <c r="G31" s="23">
        <v>8407.4</v>
      </c>
      <c r="H31" s="23">
        <v>515.21</v>
      </c>
      <c r="I31" s="23">
        <v>3000</v>
      </c>
      <c r="J31" s="23">
        <v>2118</v>
      </c>
      <c r="K31" s="23">
        <v>1116.0999999999999</v>
      </c>
      <c r="L31" s="23">
        <v>95702</v>
      </c>
      <c r="M31" s="23">
        <v>2871</v>
      </c>
      <c r="N31" s="12">
        <v>1872991.15</v>
      </c>
    </row>
    <row r="32" spans="1:14" x14ac:dyDescent="0.25">
      <c r="A32" s="15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10"/>
    </row>
    <row r="33" spans="1:14" x14ac:dyDescent="0.25">
      <c r="A33" s="16" t="s">
        <v>19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12">
        <v>0</v>
      </c>
    </row>
    <row r="34" spans="1:14" x14ac:dyDescent="0.25">
      <c r="A34" s="15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10"/>
    </row>
    <row r="35" spans="1:14" x14ac:dyDescent="0.25">
      <c r="A35" s="16" t="s">
        <v>20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10"/>
    </row>
    <row r="36" spans="1:14" x14ac:dyDescent="0.25">
      <c r="A36" s="16" t="s">
        <v>21</v>
      </c>
      <c r="B36" s="23">
        <v>240958.03</v>
      </c>
      <c r="C36" s="23">
        <v>5873.78</v>
      </c>
      <c r="D36" s="23">
        <v>2085.89</v>
      </c>
      <c r="E36" s="23">
        <v>0</v>
      </c>
      <c r="F36" s="23">
        <v>0</v>
      </c>
      <c r="G36" s="23">
        <v>125</v>
      </c>
      <c r="H36" s="23">
        <v>0</v>
      </c>
      <c r="I36" s="23">
        <v>0</v>
      </c>
      <c r="J36" s="23">
        <v>0</v>
      </c>
      <c r="K36" s="23">
        <v>2919.57</v>
      </c>
      <c r="L36" s="23">
        <v>0</v>
      </c>
      <c r="M36" s="23">
        <v>0</v>
      </c>
      <c r="N36" s="12">
        <v>251962.27</v>
      </c>
    </row>
    <row r="37" spans="1:14" x14ac:dyDescent="0.25">
      <c r="A37" s="15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10"/>
    </row>
    <row r="38" spans="1:14" x14ac:dyDescent="0.25">
      <c r="A38" s="15" t="s">
        <v>22</v>
      </c>
      <c r="B38" s="22">
        <v>29902.01</v>
      </c>
      <c r="C38" s="22">
        <v>0</v>
      </c>
      <c r="D38" s="22">
        <v>2640.11</v>
      </c>
      <c r="E38" s="22">
        <v>0</v>
      </c>
      <c r="F38" s="22">
        <v>0</v>
      </c>
      <c r="G38" s="22">
        <v>-125</v>
      </c>
      <c r="H38" s="22">
        <v>0</v>
      </c>
      <c r="I38" s="22">
        <v>0</v>
      </c>
      <c r="J38" s="22">
        <v>0</v>
      </c>
      <c r="K38" s="22">
        <v>3151.87</v>
      </c>
      <c r="L38" s="22">
        <v>0</v>
      </c>
      <c r="M38" s="22">
        <v>0</v>
      </c>
      <c r="N38" s="11">
        <v>35568.99</v>
      </c>
    </row>
    <row r="39" spans="1:14" x14ac:dyDescent="0.25">
      <c r="A39" s="17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5.75" thickBot="1" x14ac:dyDescent="0.3">
      <c r="A40" s="18" t="s">
        <v>23</v>
      </c>
      <c r="B40" s="13">
        <v>270860.03999999998</v>
      </c>
      <c r="C40" s="13">
        <v>5873.78</v>
      </c>
      <c r="D40" s="13">
        <v>4726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6071.44</v>
      </c>
      <c r="L40" s="13">
        <v>0</v>
      </c>
      <c r="M40" s="13">
        <v>0</v>
      </c>
      <c r="N40" s="13">
        <v>287531.26</v>
      </c>
    </row>
    <row r="41" spans="1:14" ht="15.75" thickTop="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</sheetData>
  <phoneticPr fontId="7" type="noConversion"/>
  <pageMargins left="0.7" right="0.7" top="0.75" bottom="0.75" header="0.3" footer="0.3"/>
  <pageSetup orientation="landscape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37"/>
  <sheetViews>
    <sheetView workbookViewId="0">
      <pane ySplit="1" topLeftCell="A2" activePane="bottomLeft" state="frozen"/>
      <selection pane="bottomLeft" activeCell="N37" sqref="A1:N37"/>
    </sheetView>
  </sheetViews>
  <sheetFormatPr defaultColWidth="8.85546875" defaultRowHeight="15" x14ac:dyDescent="0.25"/>
  <cols>
    <col min="1" max="1" width="53.140625" bestFit="1" customWidth="1"/>
    <col min="2" max="2" width="12" bestFit="1" customWidth="1"/>
    <col min="3" max="4" width="9.85546875" bestFit="1" customWidth="1"/>
    <col min="5" max="5" width="9" bestFit="1" customWidth="1"/>
    <col min="6" max="7" width="9.85546875" bestFit="1" customWidth="1"/>
    <col min="8" max="8" width="8.85546875" bestFit="1" customWidth="1"/>
    <col min="9" max="10" width="9.85546875" bestFit="1" customWidth="1"/>
    <col min="11" max="11" width="10.42578125" bestFit="1" customWidth="1"/>
    <col min="12" max="12" width="10.7109375" bestFit="1" customWidth="1"/>
    <col min="13" max="13" width="9.85546875" bestFit="1" customWidth="1"/>
    <col min="14" max="14" width="12" bestFit="1" customWidth="1"/>
  </cols>
  <sheetData>
    <row r="1" spans="1:14" ht="57" x14ac:dyDescent="0.25">
      <c r="A1" s="14" t="s">
        <v>6</v>
      </c>
      <c r="B1" s="19" t="s">
        <v>7</v>
      </c>
      <c r="C1" s="19" t="s">
        <v>24</v>
      </c>
      <c r="D1" s="19" t="s">
        <v>25</v>
      </c>
      <c r="E1" s="19" t="s">
        <v>26</v>
      </c>
      <c r="F1" s="19" t="s">
        <v>27</v>
      </c>
      <c r="G1" s="19" t="s">
        <v>28</v>
      </c>
      <c r="H1" s="19" t="s">
        <v>29</v>
      </c>
      <c r="I1" s="19" t="s">
        <v>30</v>
      </c>
      <c r="J1" s="19" t="s">
        <v>31</v>
      </c>
      <c r="K1" s="19" t="s">
        <v>8</v>
      </c>
      <c r="L1" s="19" t="s">
        <v>32</v>
      </c>
      <c r="M1" s="20" t="s">
        <v>33</v>
      </c>
      <c r="N1" s="21" t="s">
        <v>9</v>
      </c>
    </row>
    <row r="3" spans="1:14" x14ac:dyDescent="0.25">
      <c r="A3" s="15" t="s">
        <v>34</v>
      </c>
      <c r="B3" s="22">
        <v>0</v>
      </c>
      <c r="C3" s="22">
        <v>0</v>
      </c>
      <c r="D3" s="22">
        <v>37297.58</v>
      </c>
      <c r="E3" s="22">
        <v>0</v>
      </c>
      <c r="F3" s="22">
        <v>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2">
        <v>0</v>
      </c>
      <c r="M3" s="22">
        <v>0</v>
      </c>
      <c r="N3" s="11">
        <v>37297.58</v>
      </c>
    </row>
    <row r="4" spans="1:14" x14ac:dyDescent="0.25">
      <c r="A4" s="15" t="s">
        <v>35</v>
      </c>
      <c r="B4" s="22">
        <v>0</v>
      </c>
      <c r="C4" s="22">
        <v>0</v>
      </c>
      <c r="D4" s="22">
        <v>0</v>
      </c>
      <c r="E4" s="22">
        <v>4136.22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0</v>
      </c>
      <c r="M4" s="22">
        <v>0</v>
      </c>
      <c r="N4" s="11">
        <v>4136.22</v>
      </c>
    </row>
    <row r="5" spans="1:14" x14ac:dyDescent="0.25">
      <c r="A5" s="15" t="s">
        <v>36</v>
      </c>
      <c r="B5" s="22">
        <v>5593.77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11">
        <v>5593.77</v>
      </c>
    </row>
    <row r="6" spans="1:14" x14ac:dyDescent="0.25">
      <c r="A6" s="15" t="s">
        <v>10</v>
      </c>
      <c r="B6" s="22">
        <v>131463.54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11">
        <v>131463.54</v>
      </c>
    </row>
    <row r="7" spans="1:14" x14ac:dyDescent="0.25">
      <c r="A7" s="15" t="s">
        <v>37</v>
      </c>
      <c r="B7" s="22">
        <v>0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465698</v>
      </c>
      <c r="M7" s="22">
        <v>0</v>
      </c>
      <c r="N7" s="11">
        <v>465698</v>
      </c>
    </row>
    <row r="8" spans="1:14" x14ac:dyDescent="0.25">
      <c r="A8" s="15" t="s">
        <v>38</v>
      </c>
      <c r="B8" s="22">
        <v>1194501.26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11">
        <v>1194501.26</v>
      </c>
    </row>
    <row r="9" spans="1:14" x14ac:dyDescent="0.25">
      <c r="A9" s="15" t="s">
        <v>39</v>
      </c>
      <c r="B9" s="22">
        <v>0</v>
      </c>
      <c r="C9" s="22">
        <v>13600.8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11">
        <v>13600.8</v>
      </c>
    </row>
    <row r="10" spans="1:14" x14ac:dyDescent="0.25">
      <c r="A10" s="15" t="s">
        <v>40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95279</v>
      </c>
      <c r="N10" s="11">
        <v>95279</v>
      </c>
    </row>
    <row r="11" spans="1:14" x14ac:dyDescent="0.25">
      <c r="A11" s="15" t="s">
        <v>41</v>
      </c>
      <c r="B11" s="22">
        <v>0</v>
      </c>
      <c r="C11" s="22">
        <v>1511.2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11">
        <v>1511.2</v>
      </c>
    </row>
    <row r="12" spans="1:14" x14ac:dyDescent="0.25">
      <c r="A12" s="15" t="s">
        <v>42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12914.38</v>
      </c>
      <c r="J12" s="22">
        <v>34795.47</v>
      </c>
      <c r="K12" s="22">
        <v>0</v>
      </c>
      <c r="L12" s="22">
        <v>0</v>
      </c>
      <c r="M12" s="22">
        <v>0</v>
      </c>
      <c r="N12" s="11">
        <v>47709.85</v>
      </c>
    </row>
    <row r="13" spans="1:14" x14ac:dyDescent="0.25">
      <c r="A13" s="15" t="s">
        <v>43</v>
      </c>
      <c r="B13" s="23">
        <v>0</v>
      </c>
      <c r="C13" s="23">
        <v>0</v>
      </c>
      <c r="D13" s="23">
        <v>10246</v>
      </c>
      <c r="E13" s="23">
        <v>0</v>
      </c>
      <c r="F13" s="23">
        <v>11028</v>
      </c>
      <c r="G13" s="23">
        <v>26677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12">
        <v>47951</v>
      </c>
    </row>
    <row r="14" spans="1:14" x14ac:dyDescent="0.25">
      <c r="A14" s="15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10"/>
    </row>
    <row r="15" spans="1:14" x14ac:dyDescent="0.25">
      <c r="A15" s="16" t="s">
        <v>12</v>
      </c>
      <c r="B15" s="23">
        <v>1331558.57</v>
      </c>
      <c r="C15" s="23">
        <v>15112</v>
      </c>
      <c r="D15" s="23">
        <v>47543.58</v>
      </c>
      <c r="E15" s="23">
        <v>4136.22</v>
      </c>
      <c r="F15" s="23">
        <v>11028</v>
      </c>
      <c r="G15" s="23">
        <v>26677</v>
      </c>
      <c r="H15" s="23">
        <v>0</v>
      </c>
      <c r="I15" s="23">
        <v>12914.38</v>
      </c>
      <c r="J15" s="23">
        <v>34795.47</v>
      </c>
      <c r="K15" s="23">
        <v>0</v>
      </c>
      <c r="L15" s="23">
        <v>465698</v>
      </c>
      <c r="M15" s="23">
        <v>95279</v>
      </c>
      <c r="N15" s="12">
        <v>2044742.22</v>
      </c>
    </row>
    <row r="16" spans="1:14" x14ac:dyDescent="0.25">
      <c r="A16" s="15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10"/>
    </row>
    <row r="17" spans="1:14" x14ac:dyDescent="0.25">
      <c r="A17" s="15" t="s">
        <v>13</v>
      </c>
      <c r="B17" s="22">
        <v>674833.11</v>
      </c>
      <c r="C17" s="22">
        <v>15112</v>
      </c>
      <c r="D17" s="22">
        <v>0</v>
      </c>
      <c r="E17" s="22">
        <v>1496.11</v>
      </c>
      <c r="F17" s="22">
        <v>0</v>
      </c>
      <c r="G17" s="22">
        <v>26677</v>
      </c>
      <c r="H17" s="22">
        <v>0</v>
      </c>
      <c r="I17" s="22">
        <v>12914.38</v>
      </c>
      <c r="J17" s="22">
        <v>34795.47</v>
      </c>
      <c r="K17" s="22">
        <v>30495</v>
      </c>
      <c r="L17" s="22">
        <v>226750.35</v>
      </c>
      <c r="M17" s="22">
        <v>0</v>
      </c>
      <c r="N17" s="11">
        <v>1023073.42</v>
      </c>
    </row>
    <row r="18" spans="1:14" x14ac:dyDescent="0.25">
      <c r="A18" s="15" t="s">
        <v>44</v>
      </c>
      <c r="B18" s="22">
        <v>26610.9</v>
      </c>
      <c r="C18" s="22">
        <v>0</v>
      </c>
      <c r="D18" s="22">
        <v>0</v>
      </c>
      <c r="E18" s="22">
        <v>0</v>
      </c>
      <c r="F18" s="22">
        <v>11028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13177.18</v>
      </c>
      <c r="M18" s="22">
        <v>0</v>
      </c>
      <c r="N18" s="11">
        <v>50816.08</v>
      </c>
    </row>
    <row r="19" spans="1:14" x14ac:dyDescent="0.25">
      <c r="A19" s="15" t="s">
        <v>14</v>
      </c>
      <c r="B19" s="22">
        <v>65004.68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36059.4</v>
      </c>
      <c r="M19" s="22">
        <v>0</v>
      </c>
      <c r="N19" s="11">
        <v>101064.08</v>
      </c>
    </row>
    <row r="20" spans="1:14" x14ac:dyDescent="0.25">
      <c r="A20" s="15" t="s">
        <v>15</v>
      </c>
      <c r="B20" s="22">
        <v>230417.07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125</v>
      </c>
      <c r="I20" s="22">
        <v>0</v>
      </c>
      <c r="J20" s="22">
        <v>0</v>
      </c>
      <c r="K20" s="22">
        <v>8000</v>
      </c>
      <c r="L20" s="22">
        <v>119527.63</v>
      </c>
      <c r="M20" s="22">
        <v>0</v>
      </c>
      <c r="N20" s="11">
        <v>358069.7</v>
      </c>
    </row>
    <row r="21" spans="1:14" x14ac:dyDescent="0.25">
      <c r="A21" s="15" t="s">
        <v>16</v>
      </c>
      <c r="B21" s="22">
        <v>98713.97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13232.4</v>
      </c>
      <c r="M21" s="22">
        <v>0</v>
      </c>
      <c r="N21" s="11">
        <v>111946.37</v>
      </c>
    </row>
    <row r="22" spans="1:14" x14ac:dyDescent="0.25">
      <c r="A22" s="15" t="s">
        <v>17</v>
      </c>
      <c r="B22" s="22">
        <v>158046.82999999999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50532.92</v>
      </c>
      <c r="M22" s="22">
        <v>0</v>
      </c>
      <c r="N22" s="11">
        <v>208579.75</v>
      </c>
    </row>
    <row r="23" spans="1:14" x14ac:dyDescent="0.25">
      <c r="A23" s="15" t="s">
        <v>45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3266.25</v>
      </c>
      <c r="M23" s="22">
        <v>0</v>
      </c>
      <c r="N23" s="11">
        <v>3266.25</v>
      </c>
    </row>
    <row r="24" spans="1:14" x14ac:dyDescent="0.25">
      <c r="A24" s="15" t="s">
        <v>46</v>
      </c>
      <c r="B24" s="22">
        <v>6467.29</v>
      </c>
      <c r="C24" s="22">
        <v>0</v>
      </c>
      <c r="D24" s="22">
        <v>47543.58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11">
        <v>54010.87</v>
      </c>
    </row>
    <row r="25" spans="1:14" x14ac:dyDescent="0.25">
      <c r="A25" s="15" t="s">
        <v>47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95279</v>
      </c>
      <c r="N25" s="12">
        <v>95279</v>
      </c>
    </row>
    <row r="26" spans="1:14" x14ac:dyDescent="0.25">
      <c r="A26" s="15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10"/>
    </row>
    <row r="27" spans="1:14" x14ac:dyDescent="0.25">
      <c r="A27" s="16" t="s">
        <v>18</v>
      </c>
      <c r="B27" s="23">
        <v>1260093.8500000001</v>
      </c>
      <c r="C27" s="23">
        <v>15112</v>
      </c>
      <c r="D27" s="23">
        <v>47543.58</v>
      </c>
      <c r="E27" s="23">
        <v>1496.11</v>
      </c>
      <c r="F27" s="23">
        <v>11028</v>
      </c>
      <c r="G27" s="23">
        <v>26677</v>
      </c>
      <c r="H27" s="23">
        <v>125</v>
      </c>
      <c r="I27" s="23">
        <v>12914.38</v>
      </c>
      <c r="J27" s="23">
        <v>34795.47</v>
      </c>
      <c r="K27" s="23">
        <v>38495</v>
      </c>
      <c r="L27" s="23">
        <v>462546.13</v>
      </c>
      <c r="M27" s="23">
        <v>95279</v>
      </c>
      <c r="N27" s="12">
        <v>2006105.52</v>
      </c>
    </row>
    <row r="28" spans="1:14" x14ac:dyDescent="0.25">
      <c r="A28" s="15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10"/>
    </row>
    <row r="29" spans="1:14" x14ac:dyDescent="0.25">
      <c r="A29" s="16" t="s">
        <v>19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12">
        <v>0</v>
      </c>
    </row>
    <row r="30" spans="1:14" x14ac:dyDescent="0.25">
      <c r="A30" s="15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0"/>
    </row>
    <row r="31" spans="1:14" x14ac:dyDescent="0.25">
      <c r="A31" s="16" t="s">
        <v>20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0"/>
    </row>
    <row r="32" spans="1:14" x14ac:dyDescent="0.25">
      <c r="A32" s="16" t="s">
        <v>21</v>
      </c>
      <c r="B32" s="23">
        <v>71464.72</v>
      </c>
      <c r="C32" s="23">
        <v>0</v>
      </c>
      <c r="D32" s="23">
        <v>0</v>
      </c>
      <c r="E32" s="23">
        <v>2640.11</v>
      </c>
      <c r="F32" s="23">
        <v>0</v>
      </c>
      <c r="G32" s="23">
        <v>0</v>
      </c>
      <c r="H32" s="23">
        <v>-125</v>
      </c>
      <c r="I32" s="23">
        <v>0</v>
      </c>
      <c r="J32" s="23">
        <v>0</v>
      </c>
      <c r="K32" s="23">
        <v>-38495</v>
      </c>
      <c r="L32" s="23">
        <v>3151.87</v>
      </c>
      <c r="M32" s="23">
        <v>0</v>
      </c>
      <c r="N32" s="12">
        <v>38636.699999999997</v>
      </c>
    </row>
    <row r="33" spans="1:14" x14ac:dyDescent="0.25">
      <c r="A33" s="15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10"/>
    </row>
    <row r="34" spans="1:14" x14ac:dyDescent="0.25">
      <c r="A34" s="15" t="s">
        <v>22</v>
      </c>
      <c r="B34" s="22">
        <v>-41562.71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38495</v>
      </c>
      <c r="L34" s="22">
        <v>0</v>
      </c>
      <c r="M34" s="22">
        <v>0</v>
      </c>
      <c r="N34" s="11">
        <v>-3067.71</v>
      </c>
    </row>
    <row r="35" spans="1:14" x14ac:dyDescent="0.25">
      <c r="A35" s="17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5.75" thickBot="1" x14ac:dyDescent="0.3">
      <c r="A36" s="18" t="s">
        <v>23</v>
      </c>
      <c r="B36" s="13">
        <v>29902.01</v>
      </c>
      <c r="C36" s="13">
        <v>0</v>
      </c>
      <c r="D36" s="13">
        <v>0</v>
      </c>
      <c r="E36" s="13">
        <v>2640.11</v>
      </c>
      <c r="F36" s="13">
        <v>0</v>
      </c>
      <c r="G36" s="13">
        <v>0</v>
      </c>
      <c r="H36" s="13">
        <v>-125</v>
      </c>
      <c r="I36" s="13">
        <v>0</v>
      </c>
      <c r="J36" s="13">
        <v>0</v>
      </c>
      <c r="K36" s="13">
        <v>0</v>
      </c>
      <c r="L36" s="13">
        <v>3151.87</v>
      </c>
      <c r="M36" s="13">
        <v>0</v>
      </c>
      <c r="N36" s="13">
        <v>35568.99</v>
      </c>
    </row>
    <row r="37" spans="1:14" ht="15.75" thickTop="1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</sheetData>
  <phoneticPr fontId="7" type="noConversion"/>
  <pageMargins left="0.7" right="0.7" top="0.75" bottom="0.75" header="0.3" footer="0.3"/>
  <pageSetup orientation="landscape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24"/>
  <sheetViews>
    <sheetView workbookViewId="0">
      <selection activeCell="B18" sqref="B18"/>
    </sheetView>
  </sheetViews>
  <sheetFormatPr defaultColWidth="8.85546875" defaultRowHeight="15" x14ac:dyDescent="0.25"/>
  <cols>
    <col min="1" max="1" width="53.140625" bestFit="1" customWidth="1"/>
    <col min="2" max="4" width="10.7109375" bestFit="1" customWidth="1"/>
  </cols>
  <sheetData>
    <row r="1" spans="1:4" ht="45.75" x14ac:dyDescent="0.25">
      <c r="A1" s="14" t="s">
        <v>6</v>
      </c>
      <c r="B1" s="19" t="s">
        <v>7</v>
      </c>
      <c r="C1" s="20" t="s">
        <v>8</v>
      </c>
      <c r="D1" s="21" t="s">
        <v>9</v>
      </c>
    </row>
    <row r="3" spans="1:4" x14ac:dyDescent="0.25">
      <c r="A3" s="15" t="s">
        <v>10</v>
      </c>
      <c r="B3" s="22">
        <v>79730</v>
      </c>
      <c r="C3" s="22">
        <v>0</v>
      </c>
      <c r="D3" s="11">
        <v>79730</v>
      </c>
    </row>
    <row r="4" spans="1:4" x14ac:dyDescent="0.25">
      <c r="A4" s="15" t="s">
        <v>11</v>
      </c>
      <c r="B4" s="23">
        <v>0</v>
      </c>
      <c r="C4" s="23">
        <v>528100</v>
      </c>
      <c r="D4" s="12">
        <v>528100</v>
      </c>
    </row>
    <row r="5" spans="1:4" x14ac:dyDescent="0.25">
      <c r="A5" s="15"/>
      <c r="B5" s="22"/>
      <c r="C5" s="22"/>
      <c r="D5" s="10"/>
    </row>
    <row r="6" spans="1:4" x14ac:dyDescent="0.25">
      <c r="A6" s="16" t="s">
        <v>12</v>
      </c>
      <c r="B6" s="23">
        <v>79730</v>
      </c>
      <c r="C6" s="23">
        <v>528100</v>
      </c>
      <c r="D6" s="12">
        <v>607830</v>
      </c>
    </row>
    <row r="7" spans="1:4" x14ac:dyDescent="0.25">
      <c r="A7" s="15"/>
      <c r="B7" s="22"/>
      <c r="C7" s="22"/>
      <c r="D7" s="10"/>
    </row>
    <row r="8" spans="1:4" x14ac:dyDescent="0.25">
      <c r="A8" s="15" t="s">
        <v>13</v>
      </c>
      <c r="B8" s="22">
        <v>14664</v>
      </c>
      <c r="C8" s="22">
        <v>55505</v>
      </c>
      <c r="D8" s="11">
        <v>70169</v>
      </c>
    </row>
    <row r="9" spans="1:4" x14ac:dyDescent="0.25">
      <c r="A9" s="15" t="s">
        <v>14</v>
      </c>
      <c r="B9" s="22">
        <v>265</v>
      </c>
      <c r="C9" s="22">
        <v>14356.38</v>
      </c>
      <c r="D9" s="11">
        <v>14621.38</v>
      </c>
    </row>
    <row r="10" spans="1:4" x14ac:dyDescent="0.25">
      <c r="A10" s="15" t="s">
        <v>15</v>
      </c>
      <c r="B10" s="22">
        <v>34326.9</v>
      </c>
      <c r="C10" s="22">
        <v>373081.07</v>
      </c>
      <c r="D10" s="11">
        <v>407407.97</v>
      </c>
    </row>
    <row r="11" spans="1:4" x14ac:dyDescent="0.25">
      <c r="A11" s="15" t="s">
        <v>16</v>
      </c>
      <c r="B11" s="22">
        <v>21130.29</v>
      </c>
      <c r="C11" s="22">
        <v>23375.75</v>
      </c>
      <c r="D11" s="11">
        <v>44506.04</v>
      </c>
    </row>
    <row r="12" spans="1:4" x14ac:dyDescent="0.25">
      <c r="A12" s="15" t="s">
        <v>17</v>
      </c>
      <c r="B12" s="23">
        <v>50906</v>
      </c>
      <c r="C12" s="23">
        <v>23286.799999999999</v>
      </c>
      <c r="D12" s="12">
        <v>74192.800000000003</v>
      </c>
    </row>
    <row r="13" spans="1:4" x14ac:dyDescent="0.25">
      <c r="A13" s="15"/>
      <c r="B13" s="22"/>
      <c r="C13" s="22"/>
      <c r="D13" s="10"/>
    </row>
    <row r="14" spans="1:4" x14ac:dyDescent="0.25">
      <c r="A14" s="16" t="s">
        <v>18</v>
      </c>
      <c r="B14" s="23">
        <v>121292.19</v>
      </c>
      <c r="C14" s="23">
        <v>489605</v>
      </c>
      <c r="D14" s="12">
        <v>610897.18999999994</v>
      </c>
    </row>
    <row r="15" spans="1:4" x14ac:dyDescent="0.25">
      <c r="A15" s="15"/>
      <c r="B15" s="22"/>
      <c r="C15" s="22"/>
      <c r="D15" s="10"/>
    </row>
    <row r="16" spans="1:4" x14ac:dyDescent="0.25">
      <c r="A16" s="16" t="s">
        <v>19</v>
      </c>
      <c r="B16" s="23">
        <v>0</v>
      </c>
      <c r="C16" s="23">
        <v>0</v>
      </c>
      <c r="D16" s="12">
        <v>0</v>
      </c>
    </row>
    <row r="17" spans="1:4" x14ac:dyDescent="0.25">
      <c r="A17" s="15"/>
      <c r="B17" s="22"/>
      <c r="C17" s="22"/>
      <c r="D17" s="10"/>
    </row>
    <row r="18" spans="1:4" x14ac:dyDescent="0.25">
      <c r="A18" s="16" t="s">
        <v>20</v>
      </c>
      <c r="B18" s="22"/>
      <c r="C18" s="22"/>
      <c r="D18" s="10"/>
    </row>
    <row r="19" spans="1:4" x14ac:dyDescent="0.25">
      <c r="A19" s="16" t="s">
        <v>21</v>
      </c>
      <c r="B19" s="23">
        <v>-41562.19</v>
      </c>
      <c r="C19" s="23">
        <v>38495</v>
      </c>
      <c r="D19" s="12">
        <v>-3067.19</v>
      </c>
    </row>
    <row r="20" spans="1:4" x14ac:dyDescent="0.25">
      <c r="A20" s="15"/>
      <c r="B20" s="22"/>
      <c r="C20" s="22"/>
      <c r="D20" s="10"/>
    </row>
    <row r="21" spans="1:4" x14ac:dyDescent="0.25">
      <c r="A21" s="15" t="s">
        <v>22</v>
      </c>
      <c r="B21" s="22">
        <v>0</v>
      </c>
      <c r="C21" s="22">
        <v>0</v>
      </c>
      <c r="D21" s="11">
        <v>0</v>
      </c>
    </row>
    <row r="22" spans="1:4" x14ac:dyDescent="0.25">
      <c r="A22" s="17"/>
      <c r="B22" s="10"/>
      <c r="C22" s="10"/>
      <c r="D22" s="10"/>
    </row>
    <row r="23" spans="1:4" ht="15.75" thickBot="1" x14ac:dyDescent="0.3">
      <c r="A23" s="18" t="s">
        <v>23</v>
      </c>
      <c r="B23" s="13">
        <v>-41562.19</v>
      </c>
      <c r="C23" s="13">
        <v>38495</v>
      </c>
      <c r="D23" s="13">
        <v>-3067.19</v>
      </c>
    </row>
    <row r="24" spans="1:4" ht="15.75" thickTop="1" x14ac:dyDescent="0.25">
      <c r="A24" s="10"/>
      <c r="B24" s="10"/>
      <c r="C24" s="10"/>
      <c r="D24" s="10"/>
    </row>
  </sheetData>
  <phoneticPr fontId="7" type="noConversion"/>
  <pageMargins left="0.7" right="0.7" top="0.75" bottom="0.75" header="0.3" footer="0.3"/>
  <pageSetup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0"/>
  <sheetViews>
    <sheetView workbookViewId="0">
      <pane ySplit="3" topLeftCell="A12" activePane="bottomLeft" state="frozen"/>
      <selection pane="bottomLeft" sqref="A1:I40"/>
    </sheetView>
  </sheetViews>
  <sheetFormatPr defaultColWidth="8.85546875" defaultRowHeight="11.25" x14ac:dyDescent="0.2"/>
  <cols>
    <col min="1" max="2" width="31.140625" style="10" customWidth="1"/>
    <col min="3" max="3" width="16.42578125" style="10" customWidth="1"/>
    <col min="4" max="5" width="13.42578125" style="10" bestFit="1" customWidth="1"/>
    <col min="6" max="6" width="16.42578125" style="10" customWidth="1"/>
    <col min="7" max="7" width="13.42578125" style="10" bestFit="1" customWidth="1"/>
    <col min="8" max="8" width="10.7109375" style="10" bestFit="1" customWidth="1"/>
    <col min="9" max="16384" width="8.85546875" style="10"/>
  </cols>
  <sheetData>
    <row r="1" spans="1:7" ht="22.5" customHeight="1" x14ac:dyDescent="0.2">
      <c r="A1" s="46" t="s">
        <v>120</v>
      </c>
      <c r="B1" s="46"/>
      <c r="C1" s="46"/>
      <c r="D1" s="46"/>
      <c r="E1" s="46"/>
      <c r="F1" s="46"/>
      <c r="G1" s="46"/>
    </row>
    <row r="3" spans="1:7" x14ac:dyDescent="0.2">
      <c r="A3" s="34" t="s">
        <v>119</v>
      </c>
      <c r="B3" s="34" t="s">
        <v>6</v>
      </c>
      <c r="C3" s="34" t="s">
        <v>118</v>
      </c>
      <c r="D3" s="34" t="s">
        <v>117</v>
      </c>
      <c r="E3" s="34" t="s">
        <v>116</v>
      </c>
      <c r="F3" s="34" t="s">
        <v>115</v>
      </c>
      <c r="G3" s="34" t="s">
        <v>114</v>
      </c>
    </row>
    <row r="5" spans="1:7" ht="15" x14ac:dyDescent="0.25">
      <c r="A5" s="33" t="s">
        <v>112</v>
      </c>
      <c r="B5" s="33" t="s">
        <v>111</v>
      </c>
      <c r="C5" s="32">
        <v>-3216.04</v>
      </c>
      <c r="D5" s="32">
        <v>0</v>
      </c>
      <c r="E5" s="32">
        <v>-3216.04</v>
      </c>
      <c r="F5" s="32">
        <v>0</v>
      </c>
      <c r="G5" s="32">
        <v>3216.04</v>
      </c>
    </row>
    <row r="6" spans="1:7" ht="15" x14ac:dyDescent="0.25">
      <c r="A6" s="33" t="s">
        <v>110</v>
      </c>
      <c r="B6" s="33" t="s">
        <v>97</v>
      </c>
      <c r="C6" s="32">
        <v>0</v>
      </c>
      <c r="D6" s="32">
        <v>-3528</v>
      </c>
      <c r="E6" s="32">
        <v>0</v>
      </c>
      <c r="F6" s="32">
        <v>0</v>
      </c>
      <c r="G6" s="32">
        <v>-3528</v>
      </c>
    </row>
    <row r="7" spans="1:7" ht="15" x14ac:dyDescent="0.25">
      <c r="A7" s="33" t="s">
        <v>109</v>
      </c>
      <c r="B7" s="33" t="s">
        <v>108</v>
      </c>
      <c r="C7" s="32">
        <v>0</v>
      </c>
      <c r="D7" s="32">
        <v>3528</v>
      </c>
      <c r="E7" s="32">
        <v>0</v>
      </c>
      <c r="F7" s="32">
        <v>0</v>
      </c>
      <c r="G7" s="32">
        <v>3528</v>
      </c>
    </row>
    <row r="8" spans="1:7" x14ac:dyDescent="0.2">
      <c r="C8" s="30"/>
      <c r="D8" s="30"/>
      <c r="E8" s="30"/>
      <c r="F8" s="30"/>
      <c r="G8" s="30"/>
    </row>
    <row r="9" spans="1:7" x14ac:dyDescent="0.2">
      <c r="A9" s="29" t="s">
        <v>107</v>
      </c>
      <c r="C9" s="28">
        <f>SUM($C$5:$C$7)</f>
        <v>-3216.04</v>
      </c>
      <c r="D9" s="28">
        <f>SUM($D$5:$D$7)</f>
        <v>0</v>
      </c>
      <c r="E9" s="28">
        <f>SUM($E$5:$E$7)</f>
        <v>-3216.04</v>
      </c>
      <c r="F9" s="28">
        <f>SUM($F$5:$F$7)</f>
        <v>0</v>
      </c>
      <c r="G9" s="28">
        <f>SUM($G$5:$G$7)</f>
        <v>3216.04</v>
      </c>
    </row>
    <row r="11" spans="1:7" ht="15" x14ac:dyDescent="0.25">
      <c r="A11" s="33" t="s">
        <v>106</v>
      </c>
      <c r="B11" s="33" t="s">
        <v>97</v>
      </c>
      <c r="C11" s="32">
        <v>-61711.24</v>
      </c>
      <c r="D11" s="32">
        <v>-248289</v>
      </c>
      <c r="E11" s="32">
        <v>-61711.24</v>
      </c>
      <c r="F11" s="32">
        <v>0</v>
      </c>
      <c r="G11" s="32">
        <v>-186577.76</v>
      </c>
    </row>
    <row r="12" spans="1:7" ht="15" x14ac:dyDescent="0.25">
      <c r="A12" s="33" t="s">
        <v>105</v>
      </c>
      <c r="B12" s="33" t="s">
        <v>104</v>
      </c>
      <c r="C12" s="32">
        <v>0</v>
      </c>
      <c r="D12" s="32">
        <v>248289</v>
      </c>
      <c r="E12" s="32">
        <v>0</v>
      </c>
      <c r="F12" s="32">
        <v>0</v>
      </c>
      <c r="G12" s="32">
        <v>248289</v>
      </c>
    </row>
    <row r="13" spans="1:7" x14ac:dyDescent="0.2">
      <c r="C13" s="30"/>
      <c r="D13" s="30"/>
      <c r="E13" s="30"/>
      <c r="F13" s="30"/>
      <c r="G13" s="30"/>
    </row>
    <row r="14" spans="1:7" x14ac:dyDescent="0.2">
      <c r="A14" s="29" t="s">
        <v>103</v>
      </c>
      <c r="C14" s="28">
        <f>SUM($C$11:$C$12)</f>
        <v>-61711.24</v>
      </c>
      <c r="D14" s="28">
        <f>SUM($D$11:$D$12)</f>
        <v>0</v>
      </c>
      <c r="E14" s="28">
        <f>SUM($E$11:$E$12)</f>
        <v>-61711.24</v>
      </c>
      <c r="F14" s="28">
        <f>SUM($F$11:$F$12)</f>
        <v>0</v>
      </c>
      <c r="G14" s="28">
        <f>SUM($G$11:$G$12)</f>
        <v>61711.239999999991</v>
      </c>
    </row>
    <row r="16" spans="1:7" ht="15" x14ac:dyDescent="0.25">
      <c r="A16" s="33" t="s">
        <v>102</v>
      </c>
      <c r="B16" s="33" t="s">
        <v>93</v>
      </c>
      <c r="C16" s="32">
        <v>-38413.129999999997</v>
      </c>
      <c r="D16" s="32">
        <v>-118699</v>
      </c>
      <c r="E16" s="32">
        <v>-38413.129999999997</v>
      </c>
      <c r="F16" s="32">
        <v>0</v>
      </c>
      <c r="G16" s="32">
        <v>-80285.87</v>
      </c>
    </row>
    <row r="17" spans="1:8" ht="15" x14ac:dyDescent="0.25">
      <c r="A17" s="33" t="s">
        <v>101</v>
      </c>
      <c r="B17" s="33" t="s">
        <v>91</v>
      </c>
      <c r="C17" s="32">
        <v>384.12</v>
      </c>
      <c r="D17" s="32">
        <v>1187</v>
      </c>
      <c r="E17" s="32">
        <v>384.12</v>
      </c>
      <c r="F17" s="32">
        <v>0</v>
      </c>
      <c r="G17" s="32">
        <v>802.88</v>
      </c>
    </row>
    <row r="18" spans="1:8" ht="15" x14ac:dyDescent="0.25">
      <c r="A18" s="33" t="s">
        <v>100</v>
      </c>
      <c r="B18" s="33" t="s">
        <v>83</v>
      </c>
      <c r="C18" s="32">
        <v>0</v>
      </c>
      <c r="D18" s="32">
        <v>223001</v>
      </c>
      <c r="E18" s="32">
        <v>0</v>
      </c>
      <c r="F18" s="32">
        <v>0</v>
      </c>
      <c r="G18" s="32">
        <v>223001</v>
      </c>
      <c r="H18" s="11">
        <f>SUM(G17:G18)</f>
        <v>223803.88</v>
      </c>
    </row>
    <row r="19" spans="1:8" x14ac:dyDescent="0.2">
      <c r="C19" s="30"/>
      <c r="D19" s="30"/>
      <c r="E19" s="30"/>
      <c r="F19" s="30"/>
      <c r="G19" s="30"/>
    </row>
    <row r="20" spans="1:8" x14ac:dyDescent="0.2">
      <c r="A20" s="29" t="s">
        <v>99</v>
      </c>
      <c r="C20" s="28">
        <f>SUM($C$16:$C$18)</f>
        <v>-38029.009999999995</v>
      </c>
      <c r="D20" s="28">
        <f>SUM($D$16:$D$18)</f>
        <v>105489</v>
      </c>
      <c r="E20" s="28">
        <f>SUM($E$16:$E$18)</f>
        <v>-38029.009999999995</v>
      </c>
      <c r="F20" s="28">
        <f>SUM($F$16:$F$18)</f>
        <v>0</v>
      </c>
      <c r="G20" s="28">
        <f>SUM($G$16:$G$18)</f>
        <v>143518.01</v>
      </c>
    </row>
    <row r="22" spans="1:8" ht="15" x14ac:dyDescent="0.25">
      <c r="A22" s="33" t="s">
        <v>98</v>
      </c>
      <c r="B22" s="33" t="s">
        <v>97</v>
      </c>
      <c r="C22" s="32">
        <v>-9520</v>
      </c>
      <c r="D22" s="32">
        <v>-9520</v>
      </c>
      <c r="E22" s="32">
        <v>-9520</v>
      </c>
      <c r="F22" s="32">
        <v>0</v>
      </c>
      <c r="G22" s="32">
        <v>0</v>
      </c>
    </row>
    <row r="23" spans="1:8" ht="15" x14ac:dyDescent="0.25">
      <c r="A23" s="33" t="s">
        <v>96</v>
      </c>
      <c r="B23" s="33" t="s">
        <v>83</v>
      </c>
      <c r="C23" s="32">
        <v>9520</v>
      </c>
      <c r="D23" s="32">
        <v>9520</v>
      </c>
      <c r="E23" s="32">
        <v>9520</v>
      </c>
      <c r="F23" s="32">
        <v>0</v>
      </c>
      <c r="G23" s="32">
        <v>0</v>
      </c>
    </row>
    <row r="24" spans="1:8" x14ac:dyDescent="0.2">
      <c r="C24" s="30"/>
      <c r="D24" s="30"/>
      <c r="E24" s="30"/>
      <c r="F24" s="30"/>
      <c r="G24" s="30"/>
    </row>
    <row r="25" spans="1:8" x14ac:dyDescent="0.2">
      <c r="A25" s="29" t="s">
        <v>95</v>
      </c>
      <c r="C25" s="28">
        <f>SUM($C$22:$C$23)</f>
        <v>0</v>
      </c>
      <c r="D25" s="28">
        <f>SUM($D$22:$D$23)</f>
        <v>0</v>
      </c>
      <c r="E25" s="28">
        <f>SUM($E$22:$E$23)</f>
        <v>0</v>
      </c>
      <c r="F25" s="28">
        <f>SUM($F$22:$F$23)</f>
        <v>0</v>
      </c>
      <c r="G25" s="28">
        <f>SUM($G$22:$G$23)</f>
        <v>0</v>
      </c>
    </row>
    <row r="27" spans="1:8" ht="15" x14ac:dyDescent="0.25">
      <c r="A27" s="33" t="s">
        <v>94</v>
      </c>
      <c r="B27" s="33" t="s">
        <v>93</v>
      </c>
      <c r="C27" s="32">
        <v>-52070.25</v>
      </c>
      <c r="D27" s="32">
        <v>-158265</v>
      </c>
      <c r="E27" s="32">
        <v>-52070.25</v>
      </c>
      <c r="F27" s="32">
        <v>0</v>
      </c>
      <c r="G27" s="32">
        <v>-106194.75</v>
      </c>
    </row>
    <row r="28" spans="1:8" ht="15" x14ac:dyDescent="0.25">
      <c r="A28" s="33" t="s">
        <v>92</v>
      </c>
      <c r="B28" s="33" t="s">
        <v>91</v>
      </c>
      <c r="C28" s="32">
        <v>520.71</v>
      </c>
      <c r="D28" s="32">
        <v>1583</v>
      </c>
      <c r="E28" s="32">
        <v>520.71</v>
      </c>
      <c r="F28" s="32">
        <v>0</v>
      </c>
      <c r="G28" s="32">
        <v>1062.29</v>
      </c>
    </row>
    <row r="29" spans="1:8" ht="15" x14ac:dyDescent="0.25">
      <c r="A29" s="33" t="s">
        <v>90</v>
      </c>
      <c r="B29" s="33" t="s">
        <v>89</v>
      </c>
      <c r="C29" s="32">
        <v>4948.3</v>
      </c>
      <c r="D29" s="32">
        <v>4000</v>
      </c>
      <c r="E29" s="32">
        <v>4948.3</v>
      </c>
      <c r="F29" s="32">
        <v>950.4</v>
      </c>
      <c r="G29" s="32">
        <v>-1898.7</v>
      </c>
      <c r="H29" s="11">
        <f>SUM(E28:F30)</f>
        <v>22875.82</v>
      </c>
    </row>
    <row r="30" spans="1:8" ht="15" x14ac:dyDescent="0.25">
      <c r="A30" s="33" t="s">
        <v>88</v>
      </c>
      <c r="B30" s="33" t="s">
        <v>83</v>
      </c>
      <c r="C30" s="32">
        <v>16134.36</v>
      </c>
      <c r="D30" s="32">
        <v>505521</v>
      </c>
      <c r="E30" s="32">
        <v>16134.36</v>
      </c>
      <c r="F30" s="32">
        <v>322.05</v>
      </c>
      <c r="G30" s="32">
        <v>489064.59</v>
      </c>
      <c r="H30" s="11">
        <f>SUM(G28:G30)</f>
        <v>488228.18000000005</v>
      </c>
    </row>
    <row r="31" spans="1:8" x14ac:dyDescent="0.2">
      <c r="C31" s="30"/>
      <c r="D31" s="30"/>
      <c r="E31" s="30"/>
      <c r="F31" s="30"/>
      <c r="G31" s="30"/>
    </row>
    <row r="32" spans="1:8" x14ac:dyDescent="0.2">
      <c r="A32" s="29" t="s">
        <v>87</v>
      </c>
      <c r="C32" s="28">
        <f>SUM($C$27:$C$30)</f>
        <v>-30466.879999999997</v>
      </c>
      <c r="D32" s="28">
        <f>SUM($D$27:$D$30)</f>
        <v>352839</v>
      </c>
      <c r="E32" s="28">
        <f>SUM($E$27:$E$30)</f>
        <v>-30466.879999999997</v>
      </c>
      <c r="F32" s="28">
        <f>SUM($F$27:$F$30)</f>
        <v>1272.45</v>
      </c>
      <c r="G32" s="28">
        <f>SUM($G$27:$G$30)</f>
        <v>382033.43000000005</v>
      </c>
    </row>
    <row r="34" spans="1:7" ht="15" x14ac:dyDescent="0.25">
      <c r="A34" s="33" t="s">
        <v>86</v>
      </c>
      <c r="B34" s="33" t="s">
        <v>85</v>
      </c>
      <c r="C34" s="32">
        <v>-119868</v>
      </c>
      <c r="D34" s="32">
        <v>-119868</v>
      </c>
      <c r="E34" s="32">
        <v>-119868</v>
      </c>
      <c r="F34" s="32">
        <v>0</v>
      </c>
      <c r="G34" s="32">
        <v>0</v>
      </c>
    </row>
    <row r="35" spans="1:7" ht="15" x14ac:dyDescent="0.25">
      <c r="A35" s="33" t="s">
        <v>84</v>
      </c>
      <c r="B35" s="33" t="s">
        <v>83</v>
      </c>
      <c r="C35" s="32">
        <v>10793.71</v>
      </c>
      <c r="D35" s="32">
        <v>139073</v>
      </c>
      <c r="E35" s="32">
        <v>10793.71</v>
      </c>
      <c r="F35" s="32">
        <v>0</v>
      </c>
      <c r="G35" s="32">
        <v>128279.29</v>
      </c>
    </row>
    <row r="36" spans="1:7" x14ac:dyDescent="0.2">
      <c r="C36" s="30"/>
      <c r="D36" s="30"/>
      <c r="E36" s="30"/>
      <c r="F36" s="30"/>
      <c r="G36" s="30"/>
    </row>
    <row r="37" spans="1:7" x14ac:dyDescent="0.2">
      <c r="A37" s="29" t="s">
        <v>82</v>
      </c>
      <c r="C37" s="28">
        <f>SUM($C$34:$C$35)</f>
        <v>-109074.29000000001</v>
      </c>
      <c r="D37" s="28">
        <f>SUM($D$34:$D$35)</f>
        <v>19205</v>
      </c>
      <c r="E37" s="28">
        <f>SUM($E$34:$E$35)</f>
        <v>-109074.29000000001</v>
      </c>
      <c r="F37" s="28">
        <f>SUM($F$34:$F$35)</f>
        <v>0</v>
      </c>
      <c r="G37" s="28">
        <f>SUM($G$34:$G$35)</f>
        <v>128279.29</v>
      </c>
    </row>
    <row r="38" spans="1:7" x14ac:dyDescent="0.2">
      <c r="C38" s="30"/>
      <c r="D38" s="30"/>
      <c r="E38" s="30"/>
      <c r="F38" s="30"/>
      <c r="G38" s="30"/>
    </row>
    <row r="39" spans="1:7" ht="12" thickBot="1" x14ac:dyDescent="0.25">
      <c r="A39" s="29" t="s">
        <v>9</v>
      </c>
      <c r="C39" s="28">
        <f>SUM(_Apta39_1_3_1)</f>
        <v>-242497.46</v>
      </c>
      <c r="D39" s="28">
        <f>SUM(_Apta39_1_4_1)</f>
        <v>477533</v>
      </c>
      <c r="E39" s="28">
        <f>SUM(_Apta39_1_5_1)</f>
        <v>-242497.46</v>
      </c>
      <c r="F39" s="28">
        <f>SUM(_Apta39_1_6_1)</f>
        <v>1272.45</v>
      </c>
      <c r="G39" s="28">
        <f>SUM(_Apta39_1_7_1)</f>
        <v>718758.01000000013</v>
      </c>
    </row>
    <row r="40" spans="1:7" ht="12" thickTop="1" x14ac:dyDescent="0.2">
      <c r="C40" s="26"/>
      <c r="D40" s="26"/>
      <c r="E40" s="26"/>
      <c r="F40" s="26"/>
      <c r="G40" s="26"/>
    </row>
  </sheetData>
  <mergeCells count="1">
    <mergeCell ref="A1:G1"/>
  </mergeCells>
  <phoneticPr fontId="7" type="noConversion"/>
  <printOptions horizontalCentered="1"/>
  <pageMargins left="0.5" right="0.5" top="0.75" bottom="1" header="0.5" footer="0.5"/>
  <pageSetup scale="77" fitToHeight="0" orientation="landscape" r:id="rId1"/>
  <headerFooter alignWithMargins="0">
    <oddHeader>&amp;LNM School for the Arts&amp;CAccount Summary Report&amp;R&amp;D &amp;T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9"/>
  <sheetViews>
    <sheetView workbookViewId="0">
      <pane ySplit="3" topLeftCell="A4" activePane="bottomLeft" state="frozen"/>
      <selection pane="bottomLeft" activeCell="G40" sqref="A1:G40"/>
    </sheetView>
  </sheetViews>
  <sheetFormatPr defaultColWidth="8.85546875" defaultRowHeight="11.25" x14ac:dyDescent="0.2"/>
  <cols>
    <col min="1" max="2" width="31.140625" style="10" customWidth="1"/>
    <col min="3" max="3" width="16.42578125" style="10" customWidth="1"/>
    <col min="4" max="5" width="13.42578125" style="10" bestFit="1" customWidth="1"/>
    <col min="6" max="6" width="16.42578125" style="10" customWidth="1"/>
    <col min="7" max="7" width="13.42578125" style="10" bestFit="1" customWidth="1"/>
    <col min="8" max="16384" width="8.85546875" style="10"/>
  </cols>
  <sheetData>
    <row r="1" spans="1:7" ht="22.5" customHeight="1" x14ac:dyDescent="0.2">
      <c r="A1" s="46" t="s">
        <v>131</v>
      </c>
      <c r="B1" s="46"/>
      <c r="C1" s="46"/>
      <c r="D1" s="46"/>
      <c r="E1" s="46"/>
      <c r="F1" s="46"/>
      <c r="G1" s="46"/>
    </row>
    <row r="3" spans="1:7" x14ac:dyDescent="0.2">
      <c r="A3" s="34" t="s">
        <v>119</v>
      </c>
      <c r="B3" s="34" t="s">
        <v>6</v>
      </c>
      <c r="C3" s="34" t="s">
        <v>118</v>
      </c>
      <c r="D3" s="34" t="s">
        <v>117</v>
      </c>
      <c r="E3" s="34" t="s">
        <v>116</v>
      </c>
      <c r="F3" s="34" t="s">
        <v>115</v>
      </c>
      <c r="G3" s="34" t="s">
        <v>114</v>
      </c>
    </row>
    <row r="5" spans="1:7" ht="15" x14ac:dyDescent="0.25">
      <c r="A5" s="33" t="s">
        <v>112</v>
      </c>
      <c r="B5" s="33" t="s">
        <v>111</v>
      </c>
      <c r="C5" s="32">
        <v>0</v>
      </c>
      <c r="D5" s="32">
        <v>-3528</v>
      </c>
      <c r="E5" s="32">
        <v>0</v>
      </c>
      <c r="F5" s="32">
        <v>0</v>
      </c>
      <c r="G5" s="32">
        <v>-3528</v>
      </c>
    </row>
    <row r="6" spans="1:7" ht="15" x14ac:dyDescent="0.25">
      <c r="A6" s="33" t="s">
        <v>110</v>
      </c>
      <c r="B6" s="33" t="s">
        <v>97</v>
      </c>
      <c r="C6" s="32">
        <v>0</v>
      </c>
      <c r="D6" s="32">
        <v>-2501</v>
      </c>
      <c r="E6" s="32">
        <v>0</v>
      </c>
      <c r="F6" s="32">
        <v>0</v>
      </c>
      <c r="G6" s="32">
        <v>-2501</v>
      </c>
    </row>
    <row r="7" spans="1:7" ht="15" x14ac:dyDescent="0.25">
      <c r="A7" s="33" t="s">
        <v>130</v>
      </c>
      <c r="B7" s="33" t="s">
        <v>89</v>
      </c>
      <c r="C7" s="32">
        <v>1020</v>
      </c>
      <c r="D7" s="32">
        <v>1020</v>
      </c>
      <c r="E7" s="32">
        <v>1020</v>
      </c>
      <c r="F7" s="32">
        <v>0</v>
      </c>
      <c r="G7" s="32">
        <v>0</v>
      </c>
    </row>
    <row r="8" spans="1:7" ht="15" x14ac:dyDescent="0.25">
      <c r="A8" s="33" t="s">
        <v>109</v>
      </c>
      <c r="B8" s="33" t="s">
        <v>108</v>
      </c>
      <c r="C8" s="32">
        <v>2196.04</v>
      </c>
      <c r="D8" s="32">
        <v>5725</v>
      </c>
      <c r="E8" s="32">
        <v>2196.04</v>
      </c>
      <c r="F8" s="32">
        <v>0</v>
      </c>
      <c r="G8" s="32">
        <v>3528.96</v>
      </c>
    </row>
    <row r="9" spans="1:7" x14ac:dyDescent="0.2">
      <c r="C9" s="30"/>
      <c r="D9" s="30"/>
      <c r="E9" s="30"/>
      <c r="F9" s="30"/>
      <c r="G9" s="30"/>
    </row>
    <row r="10" spans="1:7" x14ac:dyDescent="0.2">
      <c r="A10" s="29" t="s">
        <v>107</v>
      </c>
      <c r="C10" s="28">
        <f>SUM($C$5:$C$8)</f>
        <v>3216.04</v>
      </c>
      <c r="D10" s="28">
        <f>SUM($D$5:$D$8)</f>
        <v>716</v>
      </c>
      <c r="E10" s="28">
        <f>SUM($E$5:$E$8)</f>
        <v>3216.04</v>
      </c>
      <c r="F10" s="28">
        <f>SUM($F$5:$F$8)</f>
        <v>0</v>
      </c>
      <c r="G10" s="28">
        <f>SUM($G$5:$G$8)</f>
        <v>-2500.04</v>
      </c>
    </row>
    <row r="12" spans="1:7" ht="15" x14ac:dyDescent="0.25">
      <c r="A12" s="33" t="s">
        <v>129</v>
      </c>
      <c r="B12" s="33" t="s">
        <v>111</v>
      </c>
      <c r="C12" s="32">
        <v>0</v>
      </c>
      <c r="D12" s="32">
        <v>-100000</v>
      </c>
      <c r="E12" s="32">
        <v>0</v>
      </c>
      <c r="F12" s="32">
        <v>0</v>
      </c>
      <c r="G12" s="32">
        <v>-100000</v>
      </c>
    </row>
    <row r="13" spans="1:7" ht="15" x14ac:dyDescent="0.25">
      <c r="A13" s="33" t="s">
        <v>106</v>
      </c>
      <c r="B13" s="33" t="s">
        <v>97</v>
      </c>
      <c r="C13" s="32">
        <v>0</v>
      </c>
      <c r="D13" s="32">
        <v>-210000</v>
      </c>
      <c r="E13" s="32">
        <v>0</v>
      </c>
      <c r="F13" s="32">
        <v>0</v>
      </c>
      <c r="G13" s="32">
        <v>-210000</v>
      </c>
    </row>
    <row r="14" spans="1:7" ht="15" x14ac:dyDescent="0.25">
      <c r="A14" s="33" t="s">
        <v>105</v>
      </c>
      <c r="B14" s="33" t="s">
        <v>104</v>
      </c>
      <c r="C14" s="32">
        <v>61711.24</v>
      </c>
      <c r="D14" s="32">
        <v>32525</v>
      </c>
      <c r="E14" s="32">
        <v>61711.24</v>
      </c>
      <c r="F14" s="32">
        <v>0</v>
      </c>
      <c r="G14" s="32">
        <v>-29186.240000000002</v>
      </c>
    </row>
    <row r="15" spans="1:7" ht="15" x14ac:dyDescent="0.25">
      <c r="A15" s="33" t="s">
        <v>128</v>
      </c>
      <c r="B15" s="33" t="s">
        <v>127</v>
      </c>
      <c r="C15" s="32">
        <v>0</v>
      </c>
      <c r="D15" s="32">
        <v>277475</v>
      </c>
      <c r="E15" s="32">
        <v>0</v>
      </c>
      <c r="F15" s="32">
        <v>0</v>
      </c>
      <c r="G15" s="32">
        <v>277475</v>
      </c>
    </row>
    <row r="16" spans="1:7" x14ac:dyDescent="0.2">
      <c r="C16" s="30"/>
      <c r="D16" s="30"/>
      <c r="E16" s="30"/>
      <c r="F16" s="30"/>
      <c r="G16" s="30"/>
    </row>
    <row r="17" spans="1:7" x14ac:dyDescent="0.2">
      <c r="A17" s="29" t="s">
        <v>103</v>
      </c>
      <c r="C17" s="28">
        <f>SUM($C$12:$C$15)</f>
        <v>61711.24</v>
      </c>
      <c r="D17" s="28">
        <f>SUM($D$12:$D$15)</f>
        <v>0</v>
      </c>
      <c r="E17" s="28">
        <f>SUM($E$12:$E$15)</f>
        <v>61711.24</v>
      </c>
      <c r="F17" s="28">
        <f>SUM($F$12:$F$15)</f>
        <v>0</v>
      </c>
      <c r="G17" s="28">
        <f>SUM($G$12:$G$15)</f>
        <v>-61711.239999999991</v>
      </c>
    </row>
    <row r="19" spans="1:7" ht="15" x14ac:dyDescent="0.25">
      <c r="A19" s="33" t="s">
        <v>102</v>
      </c>
      <c r="B19" s="33" t="s">
        <v>93</v>
      </c>
      <c r="C19" s="32">
        <v>-106554.19</v>
      </c>
      <c r="D19" s="32">
        <v>-111209</v>
      </c>
      <c r="E19" s="32">
        <v>-106554.19</v>
      </c>
      <c r="F19" s="32">
        <v>0</v>
      </c>
      <c r="G19" s="32">
        <v>-4654.8100000000004</v>
      </c>
    </row>
    <row r="20" spans="1:7" ht="15" x14ac:dyDescent="0.25">
      <c r="A20" s="33" t="s">
        <v>101</v>
      </c>
      <c r="B20" s="33" t="s">
        <v>91</v>
      </c>
      <c r="C20" s="32">
        <v>1065.55</v>
      </c>
      <c r="D20" s="32">
        <v>3500</v>
      </c>
      <c r="E20" s="32">
        <v>1065.55</v>
      </c>
      <c r="F20" s="32">
        <v>0</v>
      </c>
      <c r="G20" s="32">
        <v>2434.4499999999998</v>
      </c>
    </row>
    <row r="21" spans="1:7" ht="15" x14ac:dyDescent="0.25">
      <c r="A21" s="33" t="s">
        <v>100</v>
      </c>
      <c r="B21" s="33" t="s">
        <v>83</v>
      </c>
      <c r="C21" s="32">
        <v>0</v>
      </c>
      <c r="D21" s="32">
        <v>107709</v>
      </c>
      <c r="E21" s="32">
        <v>0</v>
      </c>
      <c r="F21" s="32">
        <v>0</v>
      </c>
      <c r="G21" s="32">
        <v>107709</v>
      </c>
    </row>
    <row r="22" spans="1:7" x14ac:dyDescent="0.2">
      <c r="C22" s="30"/>
      <c r="D22" s="30"/>
      <c r="E22" s="30"/>
      <c r="F22" s="30"/>
      <c r="G22" s="30"/>
    </row>
    <row r="23" spans="1:7" x14ac:dyDescent="0.2">
      <c r="A23" s="29" t="s">
        <v>99</v>
      </c>
      <c r="C23" s="28">
        <f>SUM($C$19:$C$21)</f>
        <v>-105488.64</v>
      </c>
      <c r="D23" s="28">
        <f>SUM($D$19:$D$21)</f>
        <v>0</v>
      </c>
      <c r="E23" s="28">
        <f>SUM($E$19:$E$21)</f>
        <v>-105488.64</v>
      </c>
      <c r="F23" s="28">
        <f>SUM($F$19:$F$21)</f>
        <v>0</v>
      </c>
      <c r="G23" s="28">
        <f>SUM($G$19:$G$21)</f>
        <v>105488.64</v>
      </c>
    </row>
    <row r="25" spans="1:7" ht="15" x14ac:dyDescent="0.25">
      <c r="A25" s="33" t="s">
        <v>126</v>
      </c>
      <c r="B25" s="33" t="s">
        <v>93</v>
      </c>
      <c r="C25" s="32">
        <v>-150330.71</v>
      </c>
      <c r="D25" s="32">
        <v>-148278</v>
      </c>
      <c r="E25" s="32">
        <v>-150330.71</v>
      </c>
      <c r="F25" s="32">
        <v>0</v>
      </c>
      <c r="G25" s="32">
        <v>2052.71</v>
      </c>
    </row>
    <row r="26" spans="1:7" ht="15" x14ac:dyDescent="0.25">
      <c r="A26" s="33" t="s">
        <v>125</v>
      </c>
      <c r="B26" s="33" t="s">
        <v>111</v>
      </c>
      <c r="C26" s="32">
        <v>0</v>
      </c>
      <c r="D26" s="32">
        <v>-4532</v>
      </c>
      <c r="E26" s="32">
        <v>0</v>
      </c>
      <c r="F26" s="32">
        <v>0</v>
      </c>
      <c r="G26" s="32">
        <v>-4532</v>
      </c>
    </row>
    <row r="27" spans="1:7" ht="15" x14ac:dyDescent="0.25">
      <c r="A27" s="33" t="s">
        <v>124</v>
      </c>
      <c r="B27" s="33" t="s">
        <v>91</v>
      </c>
      <c r="C27" s="32">
        <v>1503.3</v>
      </c>
      <c r="D27" s="32">
        <v>3500</v>
      </c>
      <c r="E27" s="32">
        <v>1503.3</v>
      </c>
      <c r="F27" s="32">
        <v>0</v>
      </c>
      <c r="G27" s="32">
        <v>1996.7</v>
      </c>
    </row>
    <row r="28" spans="1:7" ht="15" x14ac:dyDescent="0.25">
      <c r="A28" s="33" t="s">
        <v>123</v>
      </c>
      <c r="B28" s="33" t="s">
        <v>89</v>
      </c>
      <c r="C28" s="32">
        <v>132.99</v>
      </c>
      <c r="D28" s="32">
        <v>0</v>
      </c>
      <c r="E28" s="32">
        <v>132.99</v>
      </c>
      <c r="F28" s="32">
        <v>0</v>
      </c>
      <c r="G28" s="32">
        <v>-132.99</v>
      </c>
    </row>
    <row r="29" spans="1:7" ht="15" x14ac:dyDescent="0.25">
      <c r="A29" s="33" t="s">
        <v>122</v>
      </c>
      <c r="B29" s="33" t="s">
        <v>121</v>
      </c>
      <c r="C29" s="32">
        <v>12232.8</v>
      </c>
      <c r="D29" s="32">
        <v>300000</v>
      </c>
      <c r="E29" s="32">
        <v>12232.8</v>
      </c>
      <c r="F29" s="32">
        <v>0</v>
      </c>
      <c r="G29" s="32">
        <v>287767.2</v>
      </c>
    </row>
    <row r="30" spans="1:7" ht="15" x14ac:dyDescent="0.25">
      <c r="A30" s="33" t="s">
        <v>96</v>
      </c>
      <c r="B30" s="33" t="s">
        <v>83</v>
      </c>
      <c r="C30" s="32">
        <v>28108.34</v>
      </c>
      <c r="D30" s="32">
        <v>93796</v>
      </c>
      <c r="E30" s="32">
        <v>28108.34</v>
      </c>
      <c r="F30" s="32">
        <v>0</v>
      </c>
      <c r="G30" s="32">
        <v>65687.66</v>
      </c>
    </row>
    <row r="31" spans="1:7" x14ac:dyDescent="0.2">
      <c r="C31" s="30"/>
      <c r="D31" s="30"/>
      <c r="E31" s="30"/>
      <c r="F31" s="30"/>
      <c r="G31" s="30"/>
    </row>
    <row r="32" spans="1:7" x14ac:dyDescent="0.2">
      <c r="A32" s="29" t="s">
        <v>95</v>
      </c>
      <c r="C32" s="28">
        <f>SUM($C$25:$C$30)</f>
        <v>-108353.28000000003</v>
      </c>
      <c r="D32" s="28">
        <f>SUM($D$25:$D$30)</f>
        <v>244486</v>
      </c>
      <c r="E32" s="28">
        <f>SUM($E$25:$E$30)</f>
        <v>-108353.28000000003</v>
      </c>
      <c r="F32" s="28">
        <f>SUM($F$25:$F$30)</f>
        <v>0</v>
      </c>
      <c r="G32" s="28">
        <f>SUM($G$25:$G$30)</f>
        <v>352839.28</v>
      </c>
    </row>
    <row r="34" spans="1:7" ht="15" x14ac:dyDescent="0.25">
      <c r="A34" s="33" t="s">
        <v>84</v>
      </c>
      <c r="B34" s="33" t="s">
        <v>83</v>
      </c>
      <c r="C34" s="32">
        <v>9103.17</v>
      </c>
      <c r="D34" s="32">
        <v>28309</v>
      </c>
      <c r="E34" s="32">
        <v>9103.17</v>
      </c>
      <c r="F34" s="32">
        <v>0</v>
      </c>
      <c r="G34" s="32">
        <v>19205.830000000002</v>
      </c>
    </row>
    <row r="35" spans="1:7" x14ac:dyDescent="0.2">
      <c r="C35" s="30"/>
      <c r="D35" s="30"/>
      <c r="E35" s="30"/>
      <c r="F35" s="30"/>
      <c r="G35" s="30"/>
    </row>
    <row r="36" spans="1:7" x14ac:dyDescent="0.2">
      <c r="A36" s="29" t="s">
        <v>82</v>
      </c>
      <c r="C36" s="28">
        <f>SUM($C$34:$C$34)</f>
        <v>9103.17</v>
      </c>
      <c r="D36" s="28">
        <f>SUM($D$34:$D$34)</f>
        <v>28309</v>
      </c>
      <c r="E36" s="28">
        <f>SUM($E$34:$E$34)</f>
        <v>9103.17</v>
      </c>
      <c r="F36" s="28">
        <f>SUM($F$34:$F$34)</f>
        <v>0</v>
      </c>
      <c r="G36" s="28">
        <f>SUM($G$34:$G$34)</f>
        <v>19205.830000000002</v>
      </c>
    </row>
    <row r="37" spans="1:7" x14ac:dyDescent="0.2">
      <c r="C37" s="30"/>
      <c r="D37" s="30"/>
      <c r="E37" s="30"/>
      <c r="F37" s="30"/>
      <c r="G37" s="30"/>
    </row>
    <row r="38" spans="1:7" ht="12" thickBot="1" x14ac:dyDescent="0.25">
      <c r="A38" s="29" t="s">
        <v>9</v>
      </c>
      <c r="C38" s="28">
        <f>SUM(_Apta38_1_3_1)</f>
        <v>-139811.47</v>
      </c>
      <c r="D38" s="28">
        <f>SUM(_Apta38_1_4_1)</f>
        <v>273511</v>
      </c>
      <c r="E38" s="28">
        <f>SUM(_Apta38_1_5_1)</f>
        <v>-139811.47</v>
      </c>
      <c r="F38" s="28">
        <f>SUM(_Apta38_1_6_1)</f>
        <v>0</v>
      </c>
      <c r="G38" s="28">
        <f>SUM(_Apta38_1_7_1)</f>
        <v>413322.47000000003</v>
      </c>
    </row>
    <row r="39" spans="1:7" ht="12" thickTop="1" x14ac:dyDescent="0.2">
      <c r="C39" s="26"/>
      <c r="D39" s="26"/>
      <c r="E39" s="26"/>
      <c r="F39" s="26"/>
      <c r="G39" s="26"/>
    </row>
  </sheetData>
  <mergeCells count="1">
    <mergeCell ref="A1:G1"/>
  </mergeCells>
  <phoneticPr fontId="7" type="noConversion"/>
  <printOptions horizontalCentered="1"/>
  <pageMargins left="0.5" right="0.5" top="0.75" bottom="1" header="0.5" footer="0.5"/>
  <pageSetup scale="88" fitToHeight="0" orientation="landscape" r:id="rId1"/>
  <headerFooter alignWithMargins="0">
    <oddHeader>&amp;LNM School for the Arts&amp;CAccount Summary Report&amp;R&amp;D &amp;T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43"/>
  <sheetViews>
    <sheetView zoomScale="110" zoomScaleNormal="110" zoomScalePageLayoutView="11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X43" sqref="A1:X43"/>
    </sheetView>
  </sheetViews>
  <sheetFormatPr defaultColWidth="8.85546875" defaultRowHeight="15" x14ac:dyDescent="0.25"/>
  <cols>
    <col min="1" max="1" width="53.140625" bestFit="1" customWidth="1"/>
    <col min="2" max="2" width="12" bestFit="1" customWidth="1"/>
    <col min="3" max="4" width="9.85546875" bestFit="1" customWidth="1"/>
    <col min="5" max="6" width="10.42578125" bestFit="1" customWidth="1"/>
    <col min="7" max="7" width="7.42578125" bestFit="1" customWidth="1"/>
    <col min="8" max="8" width="9.85546875" bestFit="1" customWidth="1"/>
    <col min="9" max="9" width="7.7109375" bestFit="1" customWidth="1"/>
    <col min="10" max="10" width="9.42578125" bestFit="1" customWidth="1"/>
    <col min="11" max="11" width="10.42578125" bestFit="1" customWidth="1"/>
    <col min="12" max="12" width="9.42578125" bestFit="1" customWidth="1"/>
    <col min="13" max="14" width="10.7109375" bestFit="1" customWidth="1"/>
    <col min="15" max="15" width="10.42578125" bestFit="1" customWidth="1"/>
    <col min="16" max="17" width="10.7109375" bestFit="1" customWidth="1"/>
    <col min="18" max="18" width="9.85546875" bestFit="1" customWidth="1"/>
    <col min="19" max="20" width="9" bestFit="1" customWidth="1"/>
    <col min="21" max="21" width="7.7109375" bestFit="1" customWidth="1"/>
    <col min="22" max="22" width="9" bestFit="1" customWidth="1"/>
    <col min="23" max="23" width="9.85546875" bestFit="1" customWidth="1"/>
    <col min="24" max="24" width="12" bestFit="1" customWidth="1"/>
  </cols>
  <sheetData>
    <row r="1" spans="1:24" ht="57" x14ac:dyDescent="0.25">
      <c r="A1" s="14" t="s">
        <v>6</v>
      </c>
      <c r="B1" s="19" t="s">
        <v>7</v>
      </c>
      <c r="C1" s="19" t="s">
        <v>24</v>
      </c>
      <c r="D1" s="19" t="s">
        <v>25</v>
      </c>
      <c r="E1" s="19" t="s">
        <v>27</v>
      </c>
      <c r="F1" s="19" t="s">
        <v>28</v>
      </c>
      <c r="G1" s="19" t="s">
        <v>69</v>
      </c>
      <c r="H1" s="19" t="s">
        <v>29</v>
      </c>
      <c r="I1" s="19" t="s">
        <v>56</v>
      </c>
      <c r="J1" s="19" t="s">
        <v>75</v>
      </c>
      <c r="K1" s="19" t="s">
        <v>70</v>
      </c>
      <c r="L1" s="19" t="s">
        <v>71</v>
      </c>
      <c r="M1" s="19" t="s">
        <v>32</v>
      </c>
      <c r="N1" s="19" t="s">
        <v>33</v>
      </c>
      <c r="O1" s="19" t="s">
        <v>76</v>
      </c>
      <c r="P1" s="19" t="s">
        <v>77</v>
      </c>
      <c r="Q1" s="19" t="s">
        <v>50</v>
      </c>
      <c r="R1" s="19" t="s">
        <v>72</v>
      </c>
      <c r="S1" s="19" t="s">
        <v>58</v>
      </c>
      <c r="T1" s="19" t="s">
        <v>61</v>
      </c>
      <c r="U1" s="19" t="s">
        <v>65</v>
      </c>
      <c r="V1" s="19" t="s">
        <v>66</v>
      </c>
      <c r="W1" s="20" t="s">
        <v>78</v>
      </c>
      <c r="X1" s="21" t="s">
        <v>9</v>
      </c>
    </row>
    <row r="3" spans="1:24" x14ac:dyDescent="0.25">
      <c r="A3" s="15" t="s">
        <v>62</v>
      </c>
      <c r="B3" s="22">
        <v>0</v>
      </c>
      <c r="C3" s="22">
        <v>0</v>
      </c>
      <c r="D3" s="22">
        <v>0</v>
      </c>
      <c r="E3" s="22">
        <v>0</v>
      </c>
      <c r="F3" s="22">
        <v>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2">
        <v>0</v>
      </c>
      <c r="M3" s="22">
        <v>0</v>
      </c>
      <c r="N3" s="22">
        <v>0</v>
      </c>
      <c r="O3" s="22">
        <v>0</v>
      </c>
      <c r="P3" s="22">
        <v>106554.19</v>
      </c>
      <c r="Q3" s="22">
        <v>150330.71</v>
      </c>
      <c r="R3" s="22">
        <v>0</v>
      </c>
      <c r="S3" s="22">
        <v>0</v>
      </c>
      <c r="T3" s="22">
        <v>0</v>
      </c>
      <c r="U3" s="22">
        <v>0</v>
      </c>
      <c r="V3" s="22">
        <v>0</v>
      </c>
      <c r="W3" s="22">
        <v>0</v>
      </c>
      <c r="X3" s="11">
        <v>256884.9</v>
      </c>
    </row>
    <row r="4" spans="1:24" x14ac:dyDescent="0.25">
      <c r="A4" s="15" t="s">
        <v>63</v>
      </c>
      <c r="B4" s="22">
        <v>0</v>
      </c>
      <c r="C4" s="22">
        <v>0</v>
      </c>
      <c r="D4" s="22">
        <v>111.55</v>
      </c>
      <c r="E4" s="22">
        <v>0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  <c r="O4" s="22">
        <v>0</v>
      </c>
      <c r="P4" s="22">
        <v>0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  <c r="X4" s="11">
        <v>111.55</v>
      </c>
    </row>
    <row r="5" spans="1:24" x14ac:dyDescent="0.25">
      <c r="A5" s="15" t="s">
        <v>34</v>
      </c>
      <c r="B5" s="22">
        <v>0</v>
      </c>
      <c r="C5" s="22">
        <v>0</v>
      </c>
      <c r="D5" s="22">
        <v>9581.9500000000007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  <c r="W5" s="22">
        <v>0</v>
      </c>
      <c r="X5" s="11">
        <v>9581.9500000000007</v>
      </c>
    </row>
    <row r="6" spans="1:24" x14ac:dyDescent="0.25">
      <c r="A6" s="15" t="s">
        <v>35</v>
      </c>
      <c r="B6" s="22">
        <v>0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5080.32</v>
      </c>
      <c r="T6" s="22">
        <v>4260</v>
      </c>
      <c r="U6" s="22">
        <v>0</v>
      </c>
      <c r="V6" s="22">
        <v>0</v>
      </c>
      <c r="W6" s="22">
        <v>10455</v>
      </c>
      <c r="X6" s="11">
        <v>19795.32</v>
      </c>
    </row>
    <row r="7" spans="1:24" x14ac:dyDescent="0.25">
      <c r="A7" s="15" t="s">
        <v>51</v>
      </c>
      <c r="B7" s="22">
        <v>11559.99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11">
        <v>11559.99</v>
      </c>
    </row>
    <row r="8" spans="1:24" x14ac:dyDescent="0.25">
      <c r="A8" s="15" t="s">
        <v>36</v>
      </c>
      <c r="B8" s="22">
        <v>1925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11">
        <v>1925</v>
      </c>
    </row>
    <row r="9" spans="1:24" x14ac:dyDescent="0.25">
      <c r="A9" s="15" t="s">
        <v>10</v>
      </c>
      <c r="B9" s="22">
        <v>236.42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11">
        <v>236.42</v>
      </c>
    </row>
    <row r="10" spans="1:24" x14ac:dyDescent="0.25">
      <c r="A10" s="15" t="s">
        <v>37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115787.23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11">
        <v>115787.23</v>
      </c>
    </row>
    <row r="11" spans="1:24" x14ac:dyDescent="0.25">
      <c r="A11" s="15" t="s">
        <v>53</v>
      </c>
      <c r="B11" s="22">
        <v>1798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11">
        <v>1798</v>
      </c>
    </row>
    <row r="12" spans="1:24" x14ac:dyDescent="0.25">
      <c r="A12" s="15" t="s">
        <v>38</v>
      </c>
      <c r="B12" s="22">
        <v>2047179.07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11">
        <v>2047179.07</v>
      </c>
    </row>
    <row r="13" spans="1:24" x14ac:dyDescent="0.25">
      <c r="A13" s="15" t="s">
        <v>11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365.34</v>
      </c>
      <c r="J13" s="22">
        <v>0</v>
      </c>
      <c r="K13" s="22">
        <v>61505.66</v>
      </c>
      <c r="L13" s="22">
        <v>9559.6299999999992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11">
        <v>71430.63</v>
      </c>
    </row>
    <row r="14" spans="1:24" x14ac:dyDescent="0.25">
      <c r="A14" s="15" t="s">
        <v>40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145135.25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11">
        <v>145135.25</v>
      </c>
    </row>
    <row r="15" spans="1:24" x14ac:dyDescent="0.25">
      <c r="A15" s="15" t="s">
        <v>41</v>
      </c>
      <c r="B15" s="22">
        <v>0</v>
      </c>
      <c r="C15" s="22">
        <v>15011.98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11">
        <v>15011.98</v>
      </c>
    </row>
    <row r="16" spans="1:24" x14ac:dyDescent="0.25">
      <c r="A16" s="15" t="s">
        <v>43</v>
      </c>
      <c r="B16" s="22">
        <v>0</v>
      </c>
      <c r="C16" s="22">
        <v>0</v>
      </c>
      <c r="D16" s="22">
        <v>14778.53</v>
      </c>
      <c r="E16" s="22">
        <v>33473.06</v>
      </c>
      <c r="F16" s="22">
        <v>33495.97</v>
      </c>
      <c r="G16" s="22">
        <v>40</v>
      </c>
      <c r="H16" s="22">
        <v>4840.3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11">
        <v>86627.86</v>
      </c>
    </row>
    <row r="17" spans="1:24" x14ac:dyDescent="0.25">
      <c r="A17" s="15" t="s">
        <v>54</v>
      </c>
      <c r="B17" s="23">
        <v>6688.65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12">
        <v>6688.65</v>
      </c>
    </row>
    <row r="18" spans="1:24" x14ac:dyDescent="0.25">
      <c r="A18" s="15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10"/>
    </row>
    <row r="19" spans="1:24" x14ac:dyDescent="0.25">
      <c r="A19" s="16" t="s">
        <v>12</v>
      </c>
      <c r="B19" s="23">
        <v>2069387.13</v>
      </c>
      <c r="C19" s="23">
        <v>15011.98</v>
      </c>
      <c r="D19" s="23">
        <v>24472.03</v>
      </c>
      <c r="E19" s="23">
        <v>33473.06</v>
      </c>
      <c r="F19" s="23">
        <v>33495.97</v>
      </c>
      <c r="G19" s="23">
        <v>40</v>
      </c>
      <c r="H19" s="23">
        <v>4840.3</v>
      </c>
      <c r="I19" s="23">
        <v>365.34</v>
      </c>
      <c r="J19" s="23">
        <v>0</v>
      </c>
      <c r="K19" s="23">
        <v>61505.66</v>
      </c>
      <c r="L19" s="23">
        <v>9559.6299999999992</v>
      </c>
      <c r="M19" s="23">
        <v>115787.23</v>
      </c>
      <c r="N19" s="23">
        <v>145135.25</v>
      </c>
      <c r="O19" s="23">
        <v>0</v>
      </c>
      <c r="P19" s="23">
        <v>106554.19</v>
      </c>
      <c r="Q19" s="23">
        <v>150330.71</v>
      </c>
      <c r="R19" s="23">
        <v>0</v>
      </c>
      <c r="S19" s="23">
        <v>5080.32</v>
      </c>
      <c r="T19" s="23">
        <v>4260</v>
      </c>
      <c r="U19" s="23">
        <v>0</v>
      </c>
      <c r="V19" s="23">
        <v>0</v>
      </c>
      <c r="W19" s="23">
        <v>10455</v>
      </c>
      <c r="X19" s="12">
        <v>2789753.8</v>
      </c>
    </row>
    <row r="20" spans="1:24" x14ac:dyDescent="0.25">
      <c r="A20" s="15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10"/>
    </row>
    <row r="21" spans="1:24" x14ac:dyDescent="0.25">
      <c r="A21" s="15" t="s">
        <v>13</v>
      </c>
      <c r="B21" s="22">
        <v>1091067.1000000001</v>
      </c>
      <c r="C21" s="22">
        <v>9215.81</v>
      </c>
      <c r="D21" s="22">
        <v>0</v>
      </c>
      <c r="E21" s="22">
        <v>27331.69</v>
      </c>
      <c r="F21" s="22">
        <v>42722.34</v>
      </c>
      <c r="G21" s="22">
        <v>0</v>
      </c>
      <c r="H21" s="22">
        <v>13365.63</v>
      </c>
      <c r="I21" s="22">
        <v>365.34</v>
      </c>
      <c r="J21" s="22">
        <v>0</v>
      </c>
      <c r="K21" s="22">
        <v>0</v>
      </c>
      <c r="L21" s="22">
        <v>0</v>
      </c>
      <c r="M21" s="22">
        <v>52298.15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3020.44</v>
      </c>
      <c r="T21" s="22">
        <v>4370.54</v>
      </c>
      <c r="U21" s="22">
        <v>0</v>
      </c>
      <c r="V21" s="22">
        <v>365</v>
      </c>
      <c r="W21" s="22">
        <v>10455</v>
      </c>
      <c r="X21" s="11">
        <v>1254577.04</v>
      </c>
    </row>
    <row r="22" spans="1:24" x14ac:dyDescent="0.25">
      <c r="A22" s="15" t="s">
        <v>44</v>
      </c>
      <c r="B22" s="22">
        <v>86563.42</v>
      </c>
      <c r="C22" s="22">
        <v>0</v>
      </c>
      <c r="D22" s="22">
        <v>0</v>
      </c>
      <c r="E22" s="22">
        <v>3710.85</v>
      </c>
      <c r="F22" s="22">
        <v>3401.1</v>
      </c>
      <c r="G22" s="22">
        <v>37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11">
        <v>93712.37</v>
      </c>
    </row>
    <row r="23" spans="1:24" x14ac:dyDescent="0.25">
      <c r="A23" s="15" t="s">
        <v>55</v>
      </c>
      <c r="B23" s="22">
        <v>43844.41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3216.04</v>
      </c>
      <c r="K23" s="22">
        <v>0</v>
      </c>
      <c r="L23" s="22">
        <v>0</v>
      </c>
      <c r="M23" s="22">
        <v>61233.11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11">
        <v>108293.56</v>
      </c>
    </row>
    <row r="24" spans="1:24" x14ac:dyDescent="0.25">
      <c r="A24" s="15" t="s">
        <v>14</v>
      </c>
      <c r="B24" s="22">
        <v>26358.42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1065.55</v>
      </c>
      <c r="Q24" s="22">
        <v>1503.3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11">
        <v>28927.27</v>
      </c>
    </row>
    <row r="25" spans="1:24" x14ac:dyDescent="0.25">
      <c r="A25" s="15" t="s">
        <v>15</v>
      </c>
      <c r="B25" s="22">
        <v>367107.2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11">
        <v>367107.2</v>
      </c>
    </row>
    <row r="26" spans="1:24" x14ac:dyDescent="0.25">
      <c r="A26" s="15" t="s">
        <v>16</v>
      </c>
      <c r="B26" s="22">
        <v>137613.44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11">
        <v>137613.44</v>
      </c>
    </row>
    <row r="27" spans="1:24" x14ac:dyDescent="0.25">
      <c r="A27" s="15" t="s">
        <v>17</v>
      </c>
      <c r="B27" s="22">
        <v>184416.12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11">
        <v>184416.12</v>
      </c>
    </row>
    <row r="28" spans="1:24" x14ac:dyDescent="0.25">
      <c r="A28" s="15" t="s">
        <v>79</v>
      </c>
      <c r="B28" s="22">
        <v>490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11">
        <v>490</v>
      </c>
    </row>
    <row r="29" spans="1:24" x14ac:dyDescent="0.25">
      <c r="A29" s="15" t="s">
        <v>45</v>
      </c>
      <c r="B29" s="22">
        <v>45.59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11">
        <v>45.59</v>
      </c>
    </row>
    <row r="30" spans="1:24" x14ac:dyDescent="0.25">
      <c r="A30" s="15" t="s">
        <v>46</v>
      </c>
      <c r="B30" s="22">
        <v>28235.13</v>
      </c>
      <c r="C30" s="22">
        <v>0</v>
      </c>
      <c r="D30" s="22">
        <v>20146.240000000002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11">
        <v>48381.37</v>
      </c>
    </row>
    <row r="31" spans="1:24" x14ac:dyDescent="0.25">
      <c r="A31" s="15" t="s">
        <v>47</v>
      </c>
      <c r="B31" s="23">
        <v>2163.75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143937</v>
      </c>
      <c r="O31" s="23">
        <v>61711.24</v>
      </c>
      <c r="P31" s="23">
        <v>0</v>
      </c>
      <c r="Q31" s="23">
        <v>40474.129999999997</v>
      </c>
      <c r="R31" s="23">
        <v>9103.17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12">
        <v>257389.29</v>
      </c>
    </row>
    <row r="32" spans="1:24" x14ac:dyDescent="0.25">
      <c r="A32" s="15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10"/>
    </row>
    <row r="33" spans="1:24" x14ac:dyDescent="0.25">
      <c r="A33" s="16" t="s">
        <v>18</v>
      </c>
      <c r="B33" s="23">
        <v>1967904.58</v>
      </c>
      <c r="C33" s="23">
        <v>9215.81</v>
      </c>
      <c r="D33" s="23">
        <v>20146.240000000002</v>
      </c>
      <c r="E33" s="23">
        <v>31042.54</v>
      </c>
      <c r="F33" s="23">
        <v>46123.44</v>
      </c>
      <c r="G33" s="23">
        <v>37</v>
      </c>
      <c r="H33" s="23">
        <v>13365.63</v>
      </c>
      <c r="I33" s="23">
        <v>365.34</v>
      </c>
      <c r="J33" s="23">
        <v>3216.04</v>
      </c>
      <c r="K33" s="23">
        <v>0</v>
      </c>
      <c r="L33" s="23">
        <v>0</v>
      </c>
      <c r="M33" s="23">
        <v>113531.26</v>
      </c>
      <c r="N33" s="23">
        <v>143937</v>
      </c>
      <c r="O33" s="23">
        <v>61711.24</v>
      </c>
      <c r="P33" s="23">
        <v>1065.55</v>
      </c>
      <c r="Q33" s="23">
        <v>41977.43</v>
      </c>
      <c r="R33" s="23">
        <v>9103.17</v>
      </c>
      <c r="S33" s="23">
        <v>3020.44</v>
      </c>
      <c r="T33" s="23">
        <v>4370.54</v>
      </c>
      <c r="U33" s="23">
        <v>0</v>
      </c>
      <c r="V33" s="23">
        <v>365</v>
      </c>
      <c r="W33" s="23">
        <v>10455</v>
      </c>
      <c r="X33" s="12">
        <v>2480953.25</v>
      </c>
    </row>
    <row r="34" spans="1:24" x14ac:dyDescent="0.25">
      <c r="A34" s="15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10"/>
    </row>
    <row r="35" spans="1:24" x14ac:dyDescent="0.25">
      <c r="A35" s="16" t="s">
        <v>19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12">
        <v>0</v>
      </c>
    </row>
    <row r="36" spans="1:24" x14ac:dyDescent="0.25">
      <c r="A36" s="15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10"/>
    </row>
    <row r="37" spans="1:24" x14ac:dyDescent="0.25">
      <c r="A37" s="16" t="s">
        <v>20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10"/>
    </row>
    <row r="38" spans="1:24" x14ac:dyDescent="0.25">
      <c r="A38" s="16" t="s">
        <v>21</v>
      </c>
      <c r="B38" s="23">
        <v>101482.55</v>
      </c>
      <c r="C38" s="23">
        <v>5796.17</v>
      </c>
      <c r="D38" s="23">
        <v>4325.79</v>
      </c>
      <c r="E38" s="23">
        <v>2430.52</v>
      </c>
      <c r="F38" s="23">
        <v>-12627.47</v>
      </c>
      <c r="G38" s="23">
        <v>3</v>
      </c>
      <c r="H38" s="23">
        <v>-8525.33</v>
      </c>
      <c r="I38" s="23">
        <v>0</v>
      </c>
      <c r="J38" s="23">
        <v>-3216.04</v>
      </c>
      <c r="K38" s="23">
        <v>61505.66</v>
      </c>
      <c r="L38" s="23">
        <v>9559.6299999999992</v>
      </c>
      <c r="M38" s="23">
        <v>2255.9699999999998</v>
      </c>
      <c r="N38" s="23">
        <v>1198.25</v>
      </c>
      <c r="O38" s="23">
        <v>-61711.24</v>
      </c>
      <c r="P38" s="23">
        <v>105488.64</v>
      </c>
      <c r="Q38" s="23">
        <v>108353.28</v>
      </c>
      <c r="R38" s="23">
        <v>-9103.17</v>
      </c>
      <c r="S38" s="23">
        <v>2059.88</v>
      </c>
      <c r="T38" s="23">
        <v>-110.54</v>
      </c>
      <c r="U38" s="23">
        <v>0</v>
      </c>
      <c r="V38" s="23">
        <v>-365</v>
      </c>
      <c r="W38" s="23">
        <v>0</v>
      </c>
      <c r="X38" s="12">
        <v>308800.55</v>
      </c>
    </row>
    <row r="39" spans="1:24" x14ac:dyDescent="0.25">
      <c r="A39" s="15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10"/>
    </row>
    <row r="40" spans="1:24" x14ac:dyDescent="0.25">
      <c r="A40" s="15" t="s">
        <v>22</v>
      </c>
      <c r="B40" s="22">
        <v>176282.39</v>
      </c>
      <c r="C40" s="22">
        <v>384.57</v>
      </c>
      <c r="D40" s="22">
        <v>1358.72</v>
      </c>
      <c r="E40" s="22">
        <v>-11751.25</v>
      </c>
      <c r="F40" s="22">
        <v>-4021.99</v>
      </c>
      <c r="G40" s="22">
        <v>-40</v>
      </c>
      <c r="H40" s="22">
        <v>-40.880000000000003</v>
      </c>
      <c r="I40" s="22">
        <v>0</v>
      </c>
      <c r="J40" s="22">
        <v>0</v>
      </c>
      <c r="K40" s="22">
        <v>-61505.66</v>
      </c>
      <c r="L40" s="22">
        <v>-9559.6299999999992</v>
      </c>
      <c r="M40" s="22">
        <v>78443.87</v>
      </c>
      <c r="N40" s="22">
        <v>-37182.5</v>
      </c>
      <c r="O40" s="22">
        <v>0</v>
      </c>
      <c r="P40" s="22">
        <v>0</v>
      </c>
      <c r="Q40" s="22">
        <v>244486.07</v>
      </c>
      <c r="R40" s="22">
        <v>28309</v>
      </c>
      <c r="S40" s="22">
        <v>1810.69</v>
      </c>
      <c r="T40" s="22">
        <v>4370.54</v>
      </c>
      <c r="U40" s="22">
        <v>109.14</v>
      </c>
      <c r="V40" s="22">
        <v>1500</v>
      </c>
      <c r="W40" s="22">
        <v>0</v>
      </c>
      <c r="X40" s="11">
        <v>412953.08</v>
      </c>
    </row>
    <row r="41" spans="1:24" x14ac:dyDescent="0.25">
      <c r="A41" s="17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1:24" ht="15.75" thickBot="1" x14ac:dyDescent="0.3">
      <c r="A42" s="18" t="s">
        <v>23</v>
      </c>
      <c r="B42" s="13">
        <v>277764.94</v>
      </c>
      <c r="C42" s="13">
        <v>6180.74</v>
      </c>
      <c r="D42" s="13">
        <v>5684.51</v>
      </c>
      <c r="E42" s="13">
        <v>-9320.73</v>
      </c>
      <c r="F42" s="13">
        <v>-16649.46</v>
      </c>
      <c r="G42" s="13">
        <v>-37</v>
      </c>
      <c r="H42" s="13">
        <v>-8566.2099999999991</v>
      </c>
      <c r="I42" s="13">
        <v>0</v>
      </c>
      <c r="J42" s="13">
        <v>-3216.04</v>
      </c>
      <c r="K42" s="13">
        <v>0</v>
      </c>
      <c r="L42" s="13">
        <v>0</v>
      </c>
      <c r="M42" s="13">
        <v>80699.839999999997</v>
      </c>
      <c r="N42" s="13">
        <v>-35984.25</v>
      </c>
      <c r="O42" s="13">
        <v>-61711.24</v>
      </c>
      <c r="P42" s="13">
        <v>105488.64</v>
      </c>
      <c r="Q42" s="13">
        <v>352839.35</v>
      </c>
      <c r="R42" s="13">
        <v>19205.830000000002</v>
      </c>
      <c r="S42" s="13">
        <v>3870.57</v>
      </c>
      <c r="T42" s="13">
        <v>4260</v>
      </c>
      <c r="U42" s="13">
        <v>109.14</v>
      </c>
      <c r="V42" s="13">
        <v>1135</v>
      </c>
      <c r="W42" s="13">
        <v>0</v>
      </c>
      <c r="X42" s="13">
        <v>721753.63</v>
      </c>
    </row>
    <row r="43" spans="1:24" ht="15.75" thickTop="1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</sheetData>
  <phoneticPr fontId="7" type="noConversion"/>
  <pageMargins left="0.7" right="0.7" top="0.75" bottom="0.75" header="0.3" footer="0.3"/>
  <pageSetup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0"/>
  <sheetViews>
    <sheetView workbookViewId="0">
      <pane ySplit="3" topLeftCell="A4" activePane="bottomLeft" state="frozen"/>
      <selection pane="bottomLeft" activeCell="G31" sqref="A1:G31"/>
    </sheetView>
  </sheetViews>
  <sheetFormatPr defaultColWidth="8.85546875" defaultRowHeight="11.25" x14ac:dyDescent="0.2"/>
  <cols>
    <col min="1" max="2" width="31.140625" style="10" customWidth="1"/>
    <col min="3" max="3" width="16.42578125" style="10" customWidth="1"/>
    <col min="4" max="5" width="13.42578125" style="10" bestFit="1" customWidth="1"/>
    <col min="6" max="6" width="16.42578125" style="10" customWidth="1"/>
    <col min="7" max="7" width="13.42578125" style="10" bestFit="1" customWidth="1"/>
    <col min="8" max="16384" width="8.85546875" style="10"/>
  </cols>
  <sheetData>
    <row r="1" spans="1:7" ht="22.5" customHeight="1" x14ac:dyDescent="0.2">
      <c r="A1" s="46" t="s">
        <v>138</v>
      </c>
      <c r="B1" s="46"/>
      <c r="C1" s="46"/>
      <c r="D1" s="46"/>
      <c r="E1" s="46"/>
      <c r="F1" s="46"/>
      <c r="G1" s="46"/>
    </row>
    <row r="3" spans="1:7" x14ac:dyDescent="0.2">
      <c r="A3" s="34" t="s">
        <v>119</v>
      </c>
      <c r="B3" s="34" t="s">
        <v>6</v>
      </c>
      <c r="C3" s="34" t="s">
        <v>118</v>
      </c>
      <c r="D3" s="34" t="s">
        <v>117</v>
      </c>
      <c r="E3" s="34" t="s">
        <v>116</v>
      </c>
      <c r="F3" s="34" t="s">
        <v>115</v>
      </c>
      <c r="G3" s="34" t="s">
        <v>114</v>
      </c>
    </row>
    <row r="5" spans="1:7" ht="15" x14ac:dyDescent="0.25">
      <c r="A5" s="33" t="s">
        <v>137</v>
      </c>
      <c r="B5" s="33" t="s">
        <v>83</v>
      </c>
      <c r="C5" s="32">
        <v>0</v>
      </c>
      <c r="D5" s="32">
        <v>3216</v>
      </c>
      <c r="E5" s="32">
        <v>0</v>
      </c>
      <c r="F5" s="32">
        <v>0</v>
      </c>
      <c r="G5" s="32">
        <v>3216</v>
      </c>
    </row>
    <row r="6" spans="1:7" x14ac:dyDescent="0.2">
      <c r="C6" s="30"/>
      <c r="D6" s="30"/>
      <c r="E6" s="30"/>
      <c r="F6" s="30"/>
      <c r="G6" s="30"/>
    </row>
    <row r="7" spans="1:7" x14ac:dyDescent="0.2">
      <c r="A7" s="29" t="s">
        <v>107</v>
      </c>
      <c r="C7" s="28">
        <f>SUM($C$5:$C$5)</f>
        <v>0</v>
      </c>
      <c r="D7" s="28">
        <f>SUM($D$5:$D$5)</f>
        <v>3216</v>
      </c>
      <c r="E7" s="28">
        <f>SUM($E$5:$E$5)</f>
        <v>0</v>
      </c>
      <c r="F7" s="28">
        <f>SUM($F$5:$F$5)</f>
        <v>0</v>
      </c>
      <c r="G7" s="28">
        <f>SUM($G$5:$G$5)</f>
        <v>3216</v>
      </c>
    </row>
    <row r="9" spans="1:7" ht="15" x14ac:dyDescent="0.25">
      <c r="A9" s="33" t="s">
        <v>129</v>
      </c>
      <c r="B9" s="33" t="s">
        <v>111</v>
      </c>
      <c r="C9" s="32">
        <v>0</v>
      </c>
      <c r="D9" s="32">
        <v>-210000</v>
      </c>
      <c r="E9" s="32">
        <v>0</v>
      </c>
      <c r="F9" s="32">
        <v>0</v>
      </c>
      <c r="G9" s="32">
        <v>-210000</v>
      </c>
    </row>
    <row r="10" spans="1:7" ht="15" x14ac:dyDescent="0.25">
      <c r="A10" s="33" t="s">
        <v>105</v>
      </c>
      <c r="B10" s="33" t="s">
        <v>104</v>
      </c>
      <c r="C10" s="32">
        <v>0</v>
      </c>
      <c r="D10" s="32">
        <v>0</v>
      </c>
      <c r="E10" s="32">
        <v>0</v>
      </c>
      <c r="F10" s="32">
        <v>25689</v>
      </c>
      <c r="G10" s="32">
        <v>-25689</v>
      </c>
    </row>
    <row r="11" spans="1:7" ht="15" x14ac:dyDescent="0.25">
      <c r="A11" s="33" t="s">
        <v>136</v>
      </c>
      <c r="B11" s="33" t="s">
        <v>135</v>
      </c>
      <c r="C11" s="32">
        <v>0</v>
      </c>
      <c r="D11" s="32">
        <v>210000</v>
      </c>
      <c r="E11" s="32">
        <v>0</v>
      </c>
      <c r="F11" s="32">
        <v>0</v>
      </c>
      <c r="G11" s="32">
        <v>210000</v>
      </c>
    </row>
    <row r="12" spans="1:7" x14ac:dyDescent="0.2">
      <c r="C12" s="30"/>
      <c r="D12" s="30"/>
      <c r="E12" s="30"/>
      <c r="F12" s="30"/>
      <c r="G12" s="30"/>
    </row>
    <row r="13" spans="1:7" x14ac:dyDescent="0.2">
      <c r="A13" s="29" t="s">
        <v>103</v>
      </c>
      <c r="C13" s="28">
        <f>SUM($C$9:$C$11)</f>
        <v>0</v>
      </c>
      <c r="D13" s="28">
        <f>SUM($D$9:$D$11)</f>
        <v>0</v>
      </c>
      <c r="E13" s="28">
        <f>SUM($E$9:$E$11)</f>
        <v>0</v>
      </c>
      <c r="F13" s="28">
        <f>SUM($F$9:$F$11)</f>
        <v>25689</v>
      </c>
      <c r="G13" s="28">
        <f>SUM($G$9:$G$11)</f>
        <v>-25689</v>
      </c>
    </row>
    <row r="15" spans="1:7" ht="15" x14ac:dyDescent="0.25">
      <c r="A15" s="33" t="s">
        <v>126</v>
      </c>
      <c r="B15" s="33" t="s">
        <v>93</v>
      </c>
      <c r="C15" s="32">
        <v>-158529.39000000001</v>
      </c>
      <c r="D15" s="32">
        <v>-167326</v>
      </c>
      <c r="E15" s="32">
        <v>-158529.39000000001</v>
      </c>
      <c r="F15" s="32">
        <v>0</v>
      </c>
      <c r="G15" s="32">
        <v>-8796.61</v>
      </c>
    </row>
    <row r="16" spans="1:7" ht="15" x14ac:dyDescent="0.25">
      <c r="A16" s="33" t="s">
        <v>125</v>
      </c>
      <c r="B16" s="33" t="s">
        <v>111</v>
      </c>
      <c r="C16" s="32">
        <v>0</v>
      </c>
      <c r="D16" s="32">
        <v>-4532</v>
      </c>
      <c r="E16" s="32">
        <v>0</v>
      </c>
      <c r="F16" s="32">
        <v>0</v>
      </c>
      <c r="G16" s="32">
        <v>-4532</v>
      </c>
    </row>
    <row r="17" spans="1:7" ht="15" x14ac:dyDescent="0.25">
      <c r="A17" s="33" t="s">
        <v>124</v>
      </c>
      <c r="B17" s="33" t="s">
        <v>91</v>
      </c>
      <c r="C17" s="32">
        <v>1585.28</v>
      </c>
      <c r="D17" s="32">
        <v>3500</v>
      </c>
      <c r="E17" s="32">
        <v>1585.28</v>
      </c>
      <c r="F17" s="32">
        <v>0</v>
      </c>
      <c r="G17" s="32">
        <v>1914.72</v>
      </c>
    </row>
    <row r="18" spans="1:7" ht="15" x14ac:dyDescent="0.25">
      <c r="A18" s="33" t="s">
        <v>123</v>
      </c>
      <c r="B18" s="33" t="s">
        <v>89</v>
      </c>
      <c r="C18" s="32">
        <v>0</v>
      </c>
      <c r="D18" s="32">
        <v>100000</v>
      </c>
      <c r="E18" s="32">
        <v>0</v>
      </c>
      <c r="F18" s="32">
        <v>0</v>
      </c>
      <c r="G18" s="32">
        <v>100000</v>
      </c>
    </row>
    <row r="19" spans="1:7" ht="15" x14ac:dyDescent="0.25">
      <c r="A19" s="33" t="s">
        <v>122</v>
      </c>
      <c r="B19" s="33" t="s">
        <v>121</v>
      </c>
      <c r="C19" s="32">
        <v>0</v>
      </c>
      <c r="D19" s="32">
        <v>92213</v>
      </c>
      <c r="E19" s="32">
        <v>0</v>
      </c>
      <c r="F19" s="32">
        <v>0</v>
      </c>
      <c r="G19" s="32">
        <v>92213</v>
      </c>
    </row>
    <row r="20" spans="1:7" ht="15" x14ac:dyDescent="0.25">
      <c r="A20" s="33" t="s">
        <v>96</v>
      </c>
      <c r="B20" s="33" t="s">
        <v>83</v>
      </c>
      <c r="C20" s="32">
        <v>72453.88</v>
      </c>
      <c r="D20" s="32">
        <v>138240</v>
      </c>
      <c r="E20" s="32">
        <v>72453.88</v>
      </c>
      <c r="F20" s="32">
        <v>910.35</v>
      </c>
      <c r="G20" s="32">
        <v>64875.77</v>
      </c>
    </row>
    <row r="21" spans="1:7" x14ac:dyDescent="0.2">
      <c r="C21" s="30"/>
      <c r="D21" s="30"/>
      <c r="E21" s="30"/>
      <c r="F21" s="30"/>
      <c r="G21" s="30"/>
    </row>
    <row r="22" spans="1:7" x14ac:dyDescent="0.2">
      <c r="A22" s="29" t="s">
        <v>95</v>
      </c>
      <c r="C22" s="28">
        <f>SUM($C$15:$C$20)</f>
        <v>-84490.23000000001</v>
      </c>
      <c r="D22" s="28">
        <f>SUM($D$15:$D$20)</f>
        <v>162095</v>
      </c>
      <c r="E22" s="28">
        <f>SUM($E$15:$E$20)</f>
        <v>-84490.23000000001</v>
      </c>
      <c r="F22" s="28">
        <f>SUM($F$15:$F$20)</f>
        <v>910.35</v>
      </c>
      <c r="G22" s="28">
        <f>SUM($G$15:$G$20)</f>
        <v>245674.87999999998</v>
      </c>
    </row>
    <row r="24" spans="1:7" ht="15" x14ac:dyDescent="0.25">
      <c r="A24" s="33" t="s">
        <v>134</v>
      </c>
      <c r="B24" s="33" t="s">
        <v>133</v>
      </c>
      <c r="C24" s="32">
        <v>-29581</v>
      </c>
      <c r="D24" s="32">
        <v>-29581</v>
      </c>
      <c r="E24" s="32">
        <v>-29581</v>
      </c>
      <c r="F24" s="32">
        <v>0</v>
      </c>
      <c r="G24" s="32">
        <v>0</v>
      </c>
    </row>
    <row r="25" spans="1:7" ht="15" x14ac:dyDescent="0.25">
      <c r="A25" s="33" t="s">
        <v>84</v>
      </c>
      <c r="B25" s="33" t="s">
        <v>132</v>
      </c>
      <c r="C25" s="32">
        <v>1272</v>
      </c>
      <c r="D25" s="32">
        <v>29581</v>
      </c>
      <c r="E25" s="32">
        <v>1272</v>
      </c>
      <c r="F25" s="32">
        <v>1729.47</v>
      </c>
      <c r="G25" s="32">
        <v>26579.53</v>
      </c>
    </row>
    <row r="26" spans="1:7" x14ac:dyDescent="0.2">
      <c r="C26" s="30"/>
      <c r="D26" s="30"/>
      <c r="E26" s="30"/>
      <c r="F26" s="30"/>
      <c r="G26" s="30"/>
    </row>
    <row r="27" spans="1:7" x14ac:dyDescent="0.2">
      <c r="A27" s="29" t="s">
        <v>82</v>
      </c>
      <c r="C27" s="28">
        <f>SUM($C$24:$C$25)</f>
        <v>-28309</v>
      </c>
      <c r="D27" s="28">
        <f>SUM($D$24:$D$25)</f>
        <v>0</v>
      </c>
      <c r="E27" s="28">
        <f>SUM($E$24:$E$25)</f>
        <v>-28309</v>
      </c>
      <c r="F27" s="28">
        <f>SUM($F$24:$F$25)</f>
        <v>1729.47</v>
      </c>
      <c r="G27" s="28">
        <f>SUM($G$24:$G$25)</f>
        <v>26579.53</v>
      </c>
    </row>
    <row r="28" spans="1:7" x14ac:dyDescent="0.2">
      <c r="C28" s="30"/>
      <c r="D28" s="30"/>
      <c r="E28" s="30"/>
      <c r="F28" s="30"/>
      <c r="G28" s="30"/>
    </row>
    <row r="29" spans="1:7" ht="12" thickBot="1" x14ac:dyDescent="0.25">
      <c r="A29" s="29" t="s">
        <v>9</v>
      </c>
      <c r="C29" s="28">
        <f>SUM(_Apta29_1_3_1)</f>
        <v>-112799.23000000001</v>
      </c>
      <c r="D29" s="28">
        <f>SUM(_Apta29_1_4_1)</f>
        <v>165311</v>
      </c>
      <c r="E29" s="28">
        <f>SUM(_Apta29_1_5_1)</f>
        <v>-112799.23000000001</v>
      </c>
      <c r="F29" s="28">
        <f>SUM(_Apta29_1_6_1)</f>
        <v>28328.82</v>
      </c>
      <c r="G29" s="28">
        <f>SUM(_Apta29_1_7_1)</f>
        <v>249781.40999999997</v>
      </c>
    </row>
    <row r="30" spans="1:7" ht="12" thickTop="1" x14ac:dyDescent="0.2">
      <c r="C30" s="26"/>
      <c r="D30" s="26"/>
      <c r="E30" s="26"/>
      <c r="F30" s="26"/>
      <c r="G30" s="26"/>
    </row>
  </sheetData>
  <mergeCells count="1">
    <mergeCell ref="A1:G1"/>
  </mergeCells>
  <phoneticPr fontId="7" type="noConversion"/>
  <printOptions horizontalCentered="1"/>
  <pageMargins left="0.5" right="0.5" top="0.75" bottom="1" header="0.5" footer="0.5"/>
  <pageSetup fitToHeight="0" orientation="landscape" r:id="rId1"/>
  <headerFooter alignWithMargins="0">
    <oddHeader>&amp;LNM School for the Arts&amp;CAccount Summary Report&amp;R&amp;D &amp;T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4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V44" sqref="A1:V44"/>
    </sheetView>
  </sheetViews>
  <sheetFormatPr defaultColWidth="8.85546875" defaultRowHeight="15" x14ac:dyDescent="0.25"/>
  <cols>
    <col min="1" max="1" width="53.140625" bestFit="1" customWidth="1"/>
    <col min="2" max="2" width="12" bestFit="1" customWidth="1"/>
    <col min="3" max="4" width="9.85546875" bestFit="1" customWidth="1"/>
    <col min="5" max="6" width="10.42578125" bestFit="1" customWidth="1"/>
    <col min="7" max="7" width="7.42578125" bestFit="1" customWidth="1"/>
    <col min="8" max="8" width="9" bestFit="1" customWidth="1"/>
    <col min="9" max="9" width="7.7109375" bestFit="1" customWidth="1"/>
    <col min="10" max="10" width="9.42578125" bestFit="1" customWidth="1"/>
    <col min="11" max="11" width="10.42578125" bestFit="1" customWidth="1"/>
    <col min="12" max="12" width="9.42578125" bestFit="1" customWidth="1"/>
    <col min="13" max="13" width="9.85546875" bestFit="1" customWidth="1"/>
    <col min="14" max="15" width="10.7109375" bestFit="1" customWidth="1"/>
    <col min="16" max="16" width="9.85546875" bestFit="1" customWidth="1"/>
    <col min="17" max="17" width="9.42578125" bestFit="1" customWidth="1"/>
    <col min="18" max="18" width="9" bestFit="1" customWidth="1"/>
    <col min="19" max="19" width="7.7109375" bestFit="1" customWidth="1"/>
    <col min="20" max="20" width="9" bestFit="1" customWidth="1"/>
    <col min="21" max="21" width="7.7109375" bestFit="1" customWidth="1"/>
    <col min="22" max="22" width="12" bestFit="1" customWidth="1"/>
  </cols>
  <sheetData>
    <row r="1" spans="1:22" ht="57" x14ac:dyDescent="0.25">
      <c r="A1" s="14" t="s">
        <v>6</v>
      </c>
      <c r="B1" s="19" t="s">
        <v>7</v>
      </c>
      <c r="C1" s="19" t="s">
        <v>24</v>
      </c>
      <c r="D1" s="19" t="s">
        <v>25</v>
      </c>
      <c r="E1" s="19" t="s">
        <v>27</v>
      </c>
      <c r="F1" s="19" t="s">
        <v>28</v>
      </c>
      <c r="G1" s="19" t="s">
        <v>69</v>
      </c>
      <c r="H1" s="19" t="s">
        <v>29</v>
      </c>
      <c r="I1" s="19" t="s">
        <v>56</v>
      </c>
      <c r="J1" s="19" t="s">
        <v>64</v>
      </c>
      <c r="K1" s="19" t="s">
        <v>70</v>
      </c>
      <c r="L1" s="19" t="s">
        <v>71</v>
      </c>
      <c r="M1" s="19" t="s">
        <v>32</v>
      </c>
      <c r="N1" s="19" t="s">
        <v>33</v>
      </c>
      <c r="O1" s="19" t="s">
        <v>50</v>
      </c>
      <c r="P1" s="19" t="s">
        <v>72</v>
      </c>
      <c r="Q1" s="19" t="s">
        <v>58</v>
      </c>
      <c r="R1" s="19" t="s">
        <v>61</v>
      </c>
      <c r="S1" s="19" t="s">
        <v>65</v>
      </c>
      <c r="T1" s="19" t="s">
        <v>66</v>
      </c>
      <c r="U1" s="20" t="s">
        <v>73</v>
      </c>
      <c r="V1" s="21" t="s">
        <v>9</v>
      </c>
    </row>
    <row r="3" spans="1:22" x14ac:dyDescent="0.25">
      <c r="A3" s="15" t="s">
        <v>62</v>
      </c>
      <c r="B3" s="22">
        <v>0</v>
      </c>
      <c r="C3" s="22">
        <v>0</v>
      </c>
      <c r="D3" s="22">
        <v>0</v>
      </c>
      <c r="E3" s="22">
        <v>0</v>
      </c>
      <c r="F3" s="22">
        <v>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2">
        <v>0</v>
      </c>
      <c r="M3" s="22">
        <v>0</v>
      </c>
      <c r="N3" s="22">
        <v>0</v>
      </c>
      <c r="O3" s="22">
        <v>158529.39000000001</v>
      </c>
      <c r="P3" s="22">
        <v>0</v>
      </c>
      <c r="Q3" s="22">
        <v>0</v>
      </c>
      <c r="R3" s="22">
        <v>0</v>
      </c>
      <c r="S3" s="22">
        <v>0</v>
      </c>
      <c r="T3" s="22">
        <v>0</v>
      </c>
      <c r="U3" s="22">
        <v>0</v>
      </c>
      <c r="V3" s="11">
        <v>158529.39000000001</v>
      </c>
    </row>
    <row r="4" spans="1:22" x14ac:dyDescent="0.25">
      <c r="A4" s="15" t="s">
        <v>63</v>
      </c>
      <c r="B4" s="22">
        <v>0</v>
      </c>
      <c r="C4" s="22">
        <v>0</v>
      </c>
      <c r="D4" s="22">
        <v>1205</v>
      </c>
      <c r="E4" s="22">
        <v>0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  <c r="O4" s="22">
        <v>0</v>
      </c>
      <c r="P4" s="22">
        <v>0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  <c r="V4" s="11">
        <v>1205</v>
      </c>
    </row>
    <row r="5" spans="1:22" x14ac:dyDescent="0.25">
      <c r="A5" s="15" t="s">
        <v>34</v>
      </c>
      <c r="B5" s="22">
        <v>0</v>
      </c>
      <c r="C5" s="22">
        <v>0</v>
      </c>
      <c r="D5" s="22">
        <v>17287.650000000001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11">
        <v>17287.650000000001</v>
      </c>
    </row>
    <row r="6" spans="1:22" x14ac:dyDescent="0.25">
      <c r="A6" s="15" t="s">
        <v>35</v>
      </c>
      <c r="B6" s="22">
        <v>0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5911</v>
      </c>
      <c r="R6" s="22">
        <v>4355</v>
      </c>
      <c r="S6" s="22">
        <v>0</v>
      </c>
      <c r="T6" s="22">
        <v>500</v>
      </c>
      <c r="U6" s="22">
        <v>0</v>
      </c>
      <c r="V6" s="11">
        <v>10766</v>
      </c>
    </row>
    <row r="7" spans="1:22" x14ac:dyDescent="0.25">
      <c r="A7" s="15" t="s">
        <v>51</v>
      </c>
      <c r="B7" s="22">
        <v>10012.799999999999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11">
        <v>10012.799999999999</v>
      </c>
    </row>
    <row r="8" spans="1:22" x14ac:dyDescent="0.25">
      <c r="A8" s="15" t="s">
        <v>36</v>
      </c>
      <c r="B8" s="22">
        <v>2075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11">
        <v>2075</v>
      </c>
    </row>
    <row r="9" spans="1:22" x14ac:dyDescent="0.25">
      <c r="A9" s="15" t="s">
        <v>10</v>
      </c>
      <c r="B9" s="22">
        <v>1429.61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11">
        <v>1429.61</v>
      </c>
    </row>
    <row r="10" spans="1:22" x14ac:dyDescent="0.25">
      <c r="A10" s="15" t="s">
        <v>37</v>
      </c>
      <c r="B10" s="22">
        <v>228.42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99903.5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11">
        <v>100131.92</v>
      </c>
    </row>
    <row r="11" spans="1:22" x14ac:dyDescent="0.25">
      <c r="A11" s="15" t="s">
        <v>52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268.7</v>
      </c>
      <c r="V11" s="11">
        <v>268.7</v>
      </c>
    </row>
    <row r="12" spans="1:22" x14ac:dyDescent="0.25">
      <c r="A12" s="15" t="s">
        <v>53</v>
      </c>
      <c r="B12" s="22">
        <v>1283.56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11">
        <v>1283.56</v>
      </c>
    </row>
    <row r="13" spans="1:22" x14ac:dyDescent="0.25">
      <c r="A13" s="15" t="s">
        <v>38</v>
      </c>
      <c r="B13" s="22">
        <v>1895747.99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11">
        <v>1895747.99</v>
      </c>
    </row>
    <row r="14" spans="1:22" x14ac:dyDescent="0.25">
      <c r="A14" s="15" t="s">
        <v>11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558.65</v>
      </c>
      <c r="J14" s="22">
        <v>5000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11">
        <v>5558.65</v>
      </c>
    </row>
    <row r="15" spans="1:22" x14ac:dyDescent="0.25">
      <c r="A15" s="15" t="s">
        <v>39</v>
      </c>
      <c r="B15" s="22">
        <v>0</v>
      </c>
      <c r="C15" s="22">
        <v>6972.3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11">
        <v>6972.3</v>
      </c>
    </row>
    <row r="16" spans="1:22" x14ac:dyDescent="0.25">
      <c r="A16" s="15" t="s">
        <v>40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145955.25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11">
        <v>145955.25</v>
      </c>
    </row>
    <row r="17" spans="1:22" x14ac:dyDescent="0.25">
      <c r="A17" s="15" t="s">
        <v>41</v>
      </c>
      <c r="B17" s="22">
        <v>0</v>
      </c>
      <c r="C17" s="22">
        <v>8662.2099999999991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11">
        <v>8662.2099999999991</v>
      </c>
    </row>
    <row r="18" spans="1:22" x14ac:dyDescent="0.25">
      <c r="A18" s="15" t="s">
        <v>43</v>
      </c>
      <c r="B18" s="22">
        <v>0</v>
      </c>
      <c r="C18" s="22">
        <v>0</v>
      </c>
      <c r="D18" s="22">
        <v>11447.72</v>
      </c>
      <c r="E18" s="22">
        <v>29511.46</v>
      </c>
      <c r="F18" s="22">
        <v>48057.89</v>
      </c>
      <c r="G18" s="22">
        <v>0</v>
      </c>
      <c r="H18" s="22">
        <v>4455.01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11">
        <v>93472.08</v>
      </c>
    </row>
    <row r="19" spans="1:22" x14ac:dyDescent="0.25">
      <c r="A19" s="15" t="s">
        <v>74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29581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11">
        <v>29581</v>
      </c>
    </row>
    <row r="20" spans="1:22" x14ac:dyDescent="0.25">
      <c r="A20" s="15" t="s">
        <v>54</v>
      </c>
      <c r="B20" s="23">
        <v>9582.86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12">
        <v>9582.86</v>
      </c>
    </row>
    <row r="21" spans="1:22" x14ac:dyDescent="0.25">
      <c r="A21" s="15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10"/>
    </row>
    <row r="22" spans="1:22" x14ac:dyDescent="0.25">
      <c r="A22" s="16" t="s">
        <v>12</v>
      </c>
      <c r="B22" s="23">
        <v>1920360.24</v>
      </c>
      <c r="C22" s="23">
        <v>15634.51</v>
      </c>
      <c r="D22" s="23">
        <v>29940.37</v>
      </c>
      <c r="E22" s="23">
        <v>29511.46</v>
      </c>
      <c r="F22" s="23">
        <v>48057.89</v>
      </c>
      <c r="G22" s="23">
        <v>0</v>
      </c>
      <c r="H22" s="23">
        <v>4455.01</v>
      </c>
      <c r="I22" s="23">
        <v>558.65</v>
      </c>
      <c r="J22" s="23">
        <v>5000</v>
      </c>
      <c r="K22" s="23">
        <v>0</v>
      </c>
      <c r="L22" s="23">
        <v>0</v>
      </c>
      <c r="M22" s="23">
        <v>99903.5</v>
      </c>
      <c r="N22" s="23">
        <v>145955.25</v>
      </c>
      <c r="O22" s="23">
        <v>158529.39000000001</v>
      </c>
      <c r="P22" s="23">
        <v>29581</v>
      </c>
      <c r="Q22" s="23">
        <v>5911</v>
      </c>
      <c r="R22" s="23">
        <v>4355</v>
      </c>
      <c r="S22" s="23">
        <v>0</v>
      </c>
      <c r="T22" s="23">
        <v>500</v>
      </c>
      <c r="U22" s="23">
        <v>268.7</v>
      </c>
      <c r="V22" s="12">
        <v>2498521.9700000002</v>
      </c>
    </row>
    <row r="23" spans="1:22" x14ac:dyDescent="0.25">
      <c r="A23" s="15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10"/>
    </row>
    <row r="24" spans="1:22" x14ac:dyDescent="0.25">
      <c r="A24" s="15" t="s">
        <v>13</v>
      </c>
      <c r="B24" s="22">
        <v>1079408.8899999999</v>
      </c>
      <c r="C24" s="22">
        <v>15500.65</v>
      </c>
      <c r="D24" s="22">
        <v>0</v>
      </c>
      <c r="E24" s="22">
        <v>27873.65</v>
      </c>
      <c r="F24" s="22">
        <v>31642.53</v>
      </c>
      <c r="G24" s="22">
        <v>40</v>
      </c>
      <c r="H24" s="22">
        <v>3109.1</v>
      </c>
      <c r="I24" s="22">
        <v>494</v>
      </c>
      <c r="J24" s="22">
        <v>0</v>
      </c>
      <c r="K24" s="22">
        <v>61505.66</v>
      </c>
      <c r="L24" s="22">
        <v>6549.4</v>
      </c>
      <c r="M24" s="22">
        <v>36664.57</v>
      </c>
      <c r="N24" s="22">
        <v>0</v>
      </c>
      <c r="O24" s="22">
        <v>0</v>
      </c>
      <c r="P24" s="22">
        <v>0</v>
      </c>
      <c r="Q24" s="22">
        <v>7020.14</v>
      </c>
      <c r="R24" s="22">
        <v>3840.97</v>
      </c>
      <c r="S24" s="22">
        <v>0</v>
      </c>
      <c r="T24" s="22">
        <v>0</v>
      </c>
      <c r="U24" s="22">
        <v>268.7</v>
      </c>
      <c r="V24" s="11">
        <v>1273918.26</v>
      </c>
    </row>
    <row r="25" spans="1:22" x14ac:dyDescent="0.25">
      <c r="A25" s="15" t="s">
        <v>44</v>
      </c>
      <c r="B25" s="22">
        <v>84563.81</v>
      </c>
      <c r="C25" s="22">
        <v>0</v>
      </c>
      <c r="D25" s="22">
        <v>0</v>
      </c>
      <c r="E25" s="22">
        <v>3710.85</v>
      </c>
      <c r="F25" s="22">
        <v>5174.6400000000003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11">
        <v>93449.3</v>
      </c>
    </row>
    <row r="26" spans="1:22" x14ac:dyDescent="0.25">
      <c r="A26" s="15" t="s">
        <v>55</v>
      </c>
      <c r="B26" s="22">
        <v>142399.19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3010.23</v>
      </c>
      <c r="M26" s="22">
        <v>59633.17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11">
        <v>205042.59</v>
      </c>
    </row>
    <row r="27" spans="1:22" x14ac:dyDescent="0.25">
      <c r="A27" s="15" t="s">
        <v>14</v>
      </c>
      <c r="B27" s="22">
        <v>23581.66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1585.28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11">
        <v>25166.94</v>
      </c>
    </row>
    <row r="28" spans="1:22" x14ac:dyDescent="0.25">
      <c r="A28" s="15" t="s">
        <v>15</v>
      </c>
      <c r="B28" s="22">
        <v>286205.99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470.12</v>
      </c>
      <c r="I28" s="22">
        <v>0</v>
      </c>
      <c r="J28" s="22">
        <v>0</v>
      </c>
      <c r="K28" s="22">
        <v>0</v>
      </c>
      <c r="L28" s="22">
        <v>0</v>
      </c>
      <c r="M28" s="22">
        <v>51.23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11">
        <v>286727.34000000003</v>
      </c>
    </row>
    <row r="29" spans="1:22" x14ac:dyDescent="0.25">
      <c r="A29" s="15" t="s">
        <v>16</v>
      </c>
      <c r="B29" s="22">
        <v>170210.99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11">
        <v>170210.99</v>
      </c>
    </row>
    <row r="30" spans="1:22" x14ac:dyDescent="0.25">
      <c r="A30" s="15" t="s">
        <v>17</v>
      </c>
      <c r="B30" s="22">
        <v>234332.89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11">
        <v>234332.89</v>
      </c>
    </row>
    <row r="31" spans="1:22" x14ac:dyDescent="0.25">
      <c r="A31" s="15" t="s">
        <v>46</v>
      </c>
      <c r="B31" s="22">
        <v>20147.25</v>
      </c>
      <c r="C31" s="22">
        <v>0</v>
      </c>
      <c r="D31" s="22">
        <v>26628.240000000002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11">
        <v>46775.49</v>
      </c>
    </row>
    <row r="32" spans="1:22" x14ac:dyDescent="0.25">
      <c r="A32" s="15" t="s">
        <v>47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148730</v>
      </c>
      <c r="O32" s="23">
        <v>72453.88</v>
      </c>
      <c r="P32" s="23">
        <v>1272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12">
        <v>222455.88</v>
      </c>
    </row>
    <row r="33" spans="1:22" x14ac:dyDescent="0.25">
      <c r="A33" s="15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10"/>
    </row>
    <row r="34" spans="1:22" x14ac:dyDescent="0.25">
      <c r="A34" s="16" t="s">
        <v>18</v>
      </c>
      <c r="B34" s="23">
        <v>2040850.67</v>
      </c>
      <c r="C34" s="23">
        <v>15500.65</v>
      </c>
      <c r="D34" s="23">
        <v>26628.240000000002</v>
      </c>
      <c r="E34" s="23">
        <v>31584.5</v>
      </c>
      <c r="F34" s="23">
        <v>36817.17</v>
      </c>
      <c r="G34" s="23">
        <v>40</v>
      </c>
      <c r="H34" s="23">
        <v>3579.22</v>
      </c>
      <c r="I34" s="23">
        <v>494</v>
      </c>
      <c r="J34" s="23">
        <v>0</v>
      </c>
      <c r="K34" s="23">
        <v>61505.66</v>
      </c>
      <c r="L34" s="23">
        <v>9559.6299999999992</v>
      </c>
      <c r="M34" s="23">
        <v>96348.97</v>
      </c>
      <c r="N34" s="23">
        <v>148730</v>
      </c>
      <c r="O34" s="23">
        <v>74039.16</v>
      </c>
      <c r="P34" s="23">
        <v>1272</v>
      </c>
      <c r="Q34" s="23">
        <v>7020.14</v>
      </c>
      <c r="R34" s="23">
        <v>3840.97</v>
      </c>
      <c r="S34" s="23">
        <v>0</v>
      </c>
      <c r="T34" s="23">
        <v>0</v>
      </c>
      <c r="U34" s="23">
        <v>268.7</v>
      </c>
      <c r="V34" s="12">
        <v>2558079.6800000002</v>
      </c>
    </row>
    <row r="35" spans="1:22" x14ac:dyDescent="0.25">
      <c r="A35" s="15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10"/>
    </row>
    <row r="36" spans="1:22" x14ac:dyDescent="0.25">
      <c r="A36" s="16" t="s">
        <v>19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12">
        <v>0</v>
      </c>
    </row>
    <row r="37" spans="1:22" x14ac:dyDescent="0.25">
      <c r="A37" s="15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10"/>
    </row>
    <row r="38" spans="1:22" x14ac:dyDescent="0.25">
      <c r="A38" s="16" t="s">
        <v>20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10"/>
    </row>
    <row r="39" spans="1:22" x14ac:dyDescent="0.25">
      <c r="A39" s="16" t="s">
        <v>21</v>
      </c>
      <c r="B39" s="23">
        <v>-120490.43</v>
      </c>
      <c r="C39" s="23">
        <v>133.86000000000001</v>
      </c>
      <c r="D39" s="23">
        <v>3312.13</v>
      </c>
      <c r="E39" s="23">
        <v>-2073.04</v>
      </c>
      <c r="F39" s="23">
        <v>11240.72</v>
      </c>
      <c r="G39" s="23">
        <v>-40</v>
      </c>
      <c r="H39" s="23">
        <v>875.79</v>
      </c>
      <c r="I39" s="23">
        <v>64.650000000000006</v>
      </c>
      <c r="J39" s="23">
        <v>5000</v>
      </c>
      <c r="K39" s="23">
        <v>-61505.66</v>
      </c>
      <c r="L39" s="23">
        <v>-9559.6299999999992</v>
      </c>
      <c r="M39" s="23">
        <v>3554.53</v>
      </c>
      <c r="N39" s="23">
        <v>-2774.75</v>
      </c>
      <c r="O39" s="23">
        <v>84490.23</v>
      </c>
      <c r="P39" s="23">
        <v>28309</v>
      </c>
      <c r="Q39" s="23">
        <v>-1109.1400000000001</v>
      </c>
      <c r="R39" s="23">
        <v>514.03</v>
      </c>
      <c r="S39" s="23">
        <v>0</v>
      </c>
      <c r="T39" s="23">
        <v>500</v>
      </c>
      <c r="U39" s="23">
        <v>0</v>
      </c>
      <c r="V39" s="12">
        <v>-59557.71</v>
      </c>
    </row>
    <row r="40" spans="1:22" x14ac:dyDescent="0.25">
      <c r="A40" s="15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10"/>
    </row>
    <row r="41" spans="1:22" x14ac:dyDescent="0.25">
      <c r="A41" s="15" t="s">
        <v>22</v>
      </c>
      <c r="B41" s="22">
        <v>302936.32000000001</v>
      </c>
      <c r="C41" s="22">
        <v>250.71</v>
      </c>
      <c r="D41" s="22">
        <v>-1953.41</v>
      </c>
      <c r="E41" s="22">
        <v>-9678.2099999999991</v>
      </c>
      <c r="F41" s="22">
        <v>-15262.71</v>
      </c>
      <c r="G41" s="22">
        <v>0</v>
      </c>
      <c r="H41" s="22">
        <v>-916.67</v>
      </c>
      <c r="I41" s="22">
        <v>-64.650000000000006</v>
      </c>
      <c r="J41" s="22">
        <v>-5000</v>
      </c>
      <c r="K41" s="22">
        <v>0</v>
      </c>
      <c r="L41" s="22">
        <v>0</v>
      </c>
      <c r="M41" s="22">
        <v>68725.84</v>
      </c>
      <c r="N41" s="22">
        <v>-34407.75</v>
      </c>
      <c r="O41" s="22">
        <v>159995.84</v>
      </c>
      <c r="P41" s="22">
        <v>0</v>
      </c>
      <c r="Q41" s="22">
        <v>2919.83</v>
      </c>
      <c r="R41" s="22">
        <v>3856.51</v>
      </c>
      <c r="S41" s="22">
        <v>109.14</v>
      </c>
      <c r="T41" s="22">
        <v>1000</v>
      </c>
      <c r="U41" s="22">
        <v>0</v>
      </c>
      <c r="V41" s="11">
        <v>472510.79</v>
      </c>
    </row>
    <row r="42" spans="1:22" x14ac:dyDescent="0.25">
      <c r="A42" s="17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ht="15.75" thickBot="1" x14ac:dyDescent="0.3">
      <c r="A43" s="18" t="s">
        <v>23</v>
      </c>
      <c r="B43" s="13">
        <v>182445.89</v>
      </c>
      <c r="C43" s="13">
        <v>384.57</v>
      </c>
      <c r="D43" s="13">
        <v>1358.72</v>
      </c>
      <c r="E43" s="13">
        <v>-11751.25</v>
      </c>
      <c r="F43" s="13">
        <v>-4021.99</v>
      </c>
      <c r="G43" s="13">
        <v>-40</v>
      </c>
      <c r="H43" s="13">
        <v>-40.880000000000003</v>
      </c>
      <c r="I43" s="13">
        <v>0</v>
      </c>
      <c r="J43" s="13">
        <v>0</v>
      </c>
      <c r="K43" s="13">
        <v>-61505.66</v>
      </c>
      <c r="L43" s="13">
        <v>-9559.6299999999992</v>
      </c>
      <c r="M43" s="13">
        <v>72280.37</v>
      </c>
      <c r="N43" s="13">
        <v>-37182.5</v>
      </c>
      <c r="O43" s="13">
        <v>244486.07</v>
      </c>
      <c r="P43" s="13">
        <v>28309</v>
      </c>
      <c r="Q43" s="13">
        <v>1810.69</v>
      </c>
      <c r="R43" s="13">
        <v>4370.54</v>
      </c>
      <c r="S43" s="13">
        <v>109.14</v>
      </c>
      <c r="T43" s="13">
        <v>1500</v>
      </c>
      <c r="U43" s="13">
        <v>0</v>
      </c>
      <c r="V43" s="13">
        <v>412953.08</v>
      </c>
    </row>
    <row r="44" spans="1:22" ht="15.75" thickTop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</sheetData>
  <phoneticPr fontId="7" type="noConversion"/>
  <pageMargins left="0.7" right="0.7" top="0.75" bottom="0.75" header="0.3" footer="0.3"/>
  <pageSetup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21"/>
  <sheetViews>
    <sheetView workbookViewId="0">
      <pane ySplit="3" topLeftCell="A4" activePane="bottomLeft" state="frozen"/>
      <selection pane="bottomLeft" activeCell="H21" sqref="A1:H21"/>
    </sheetView>
  </sheetViews>
  <sheetFormatPr defaultColWidth="8.85546875" defaultRowHeight="11.25" x14ac:dyDescent="0.2"/>
  <cols>
    <col min="1" max="2" width="31.140625" style="10" customWidth="1"/>
    <col min="3" max="3" width="16.42578125" style="10" customWidth="1"/>
    <col min="4" max="5" width="13.42578125" style="10" bestFit="1" customWidth="1"/>
    <col min="6" max="6" width="16.42578125" style="10" customWidth="1"/>
    <col min="7" max="7" width="12.42578125" style="10" bestFit="1" customWidth="1"/>
    <col min="8" max="8" width="10.28515625" style="10" customWidth="1"/>
    <col min="9" max="16384" width="8.85546875" style="10"/>
  </cols>
  <sheetData>
    <row r="1" spans="1:8" ht="22.5" customHeight="1" x14ac:dyDescent="0.2">
      <c r="A1" s="46" t="s">
        <v>141</v>
      </c>
      <c r="B1" s="46"/>
      <c r="C1" s="46"/>
      <c r="D1" s="46"/>
      <c r="E1" s="46"/>
      <c r="F1" s="46"/>
      <c r="G1" s="46"/>
      <c r="H1" s="46"/>
    </row>
    <row r="3" spans="1:8" x14ac:dyDescent="0.2">
      <c r="A3" s="34" t="s">
        <v>119</v>
      </c>
      <c r="B3" s="34" t="s">
        <v>6</v>
      </c>
      <c r="C3" s="34" t="s">
        <v>118</v>
      </c>
      <c r="D3" s="34" t="s">
        <v>117</v>
      </c>
      <c r="E3" s="34" t="s">
        <v>116</v>
      </c>
      <c r="F3" s="34" t="s">
        <v>115</v>
      </c>
      <c r="G3" s="34" t="s">
        <v>114</v>
      </c>
      <c r="H3" s="34" t="s">
        <v>113</v>
      </c>
    </row>
    <row r="5" spans="1:8" ht="15" x14ac:dyDescent="0.25">
      <c r="A5" s="33" t="s">
        <v>112</v>
      </c>
      <c r="B5" s="33" t="s">
        <v>111</v>
      </c>
      <c r="C5" s="32">
        <v>0</v>
      </c>
      <c r="D5" s="32">
        <v>-3216</v>
      </c>
      <c r="E5" s="32">
        <v>0</v>
      </c>
      <c r="F5" s="32">
        <v>0</v>
      </c>
      <c r="G5" s="32">
        <v>-3216</v>
      </c>
      <c r="H5" s="31">
        <v>0</v>
      </c>
    </row>
    <row r="6" spans="1:8" ht="15" x14ac:dyDescent="0.25">
      <c r="A6" s="33" t="s">
        <v>140</v>
      </c>
      <c r="B6" s="33" t="s">
        <v>83</v>
      </c>
      <c r="C6" s="32">
        <v>0</v>
      </c>
      <c r="D6" s="32">
        <v>3216</v>
      </c>
      <c r="E6" s="32">
        <v>0</v>
      </c>
      <c r="F6" s="32">
        <v>0</v>
      </c>
      <c r="G6" s="32">
        <v>3216</v>
      </c>
      <c r="H6" s="31">
        <v>0</v>
      </c>
    </row>
    <row r="7" spans="1:8" x14ac:dyDescent="0.2">
      <c r="C7" s="30"/>
      <c r="D7" s="30"/>
      <c r="E7" s="30"/>
      <c r="F7" s="30"/>
      <c r="G7" s="30"/>
    </row>
    <row r="8" spans="1:8" x14ac:dyDescent="0.2">
      <c r="A8" s="29" t="s">
        <v>107</v>
      </c>
      <c r="C8" s="28">
        <f>SUM($C$5:$C$6)</f>
        <v>0</v>
      </c>
      <c r="D8" s="28">
        <f>SUM($D$5:$D$6)</f>
        <v>0</v>
      </c>
      <c r="E8" s="28">
        <f>SUM($E$5:$E$6)</f>
        <v>0</v>
      </c>
      <c r="F8" s="28">
        <f>SUM($F$5:$F$6)</f>
        <v>0</v>
      </c>
      <c r="G8" s="28">
        <f>SUM($G$5:$G$6)</f>
        <v>0</v>
      </c>
      <c r="H8" s="27">
        <v>0</v>
      </c>
    </row>
    <row r="10" spans="1:8" ht="15" x14ac:dyDescent="0.25">
      <c r="A10" s="33" t="s">
        <v>126</v>
      </c>
      <c r="B10" s="33" t="s">
        <v>93</v>
      </c>
      <c r="C10" s="32">
        <v>-163160.97</v>
      </c>
      <c r="D10" s="32">
        <v>-166820</v>
      </c>
      <c r="E10" s="32">
        <v>-163160.97</v>
      </c>
      <c r="F10" s="32">
        <v>0</v>
      </c>
      <c r="G10" s="32">
        <v>-3659.03</v>
      </c>
      <c r="H10" s="31">
        <v>97.8</v>
      </c>
    </row>
    <row r="11" spans="1:8" ht="15" x14ac:dyDescent="0.25">
      <c r="A11" s="33" t="s">
        <v>125</v>
      </c>
      <c r="B11" s="33" t="s">
        <v>111</v>
      </c>
      <c r="C11" s="32">
        <v>-4494</v>
      </c>
      <c r="D11" s="32">
        <v>-4494</v>
      </c>
      <c r="E11" s="32">
        <v>-4494</v>
      </c>
      <c r="F11" s="32">
        <v>0</v>
      </c>
      <c r="G11" s="32">
        <v>0</v>
      </c>
      <c r="H11" s="31">
        <v>100</v>
      </c>
    </row>
    <row r="12" spans="1:8" ht="15" x14ac:dyDescent="0.25">
      <c r="A12" s="33" t="s">
        <v>124</v>
      </c>
      <c r="B12" s="33" t="s">
        <v>91</v>
      </c>
      <c r="C12" s="32">
        <v>1631.62</v>
      </c>
      <c r="D12" s="32">
        <v>2500</v>
      </c>
      <c r="E12" s="32">
        <v>1631.62</v>
      </c>
      <c r="F12" s="32">
        <v>0</v>
      </c>
      <c r="G12" s="32">
        <v>868.38</v>
      </c>
      <c r="H12" s="31">
        <v>65.260000000000005</v>
      </c>
    </row>
    <row r="13" spans="1:8" ht="15" x14ac:dyDescent="0.25">
      <c r="A13" s="33" t="s">
        <v>123</v>
      </c>
      <c r="B13" s="33" t="s">
        <v>89</v>
      </c>
      <c r="C13" s="32">
        <v>2417.9499999999998</v>
      </c>
      <c r="D13" s="32">
        <v>114493</v>
      </c>
      <c r="E13" s="32">
        <v>2417.9499999999998</v>
      </c>
      <c r="F13" s="32">
        <v>0</v>
      </c>
      <c r="G13" s="32">
        <v>112075.05</v>
      </c>
      <c r="H13" s="31">
        <v>2.11</v>
      </c>
    </row>
    <row r="14" spans="1:8" ht="15" x14ac:dyDescent="0.25">
      <c r="A14" s="33" t="s">
        <v>122</v>
      </c>
      <c r="B14" s="33" t="s">
        <v>121</v>
      </c>
      <c r="C14" s="32">
        <v>40109</v>
      </c>
      <c r="D14" s="32">
        <v>0</v>
      </c>
      <c r="E14" s="32">
        <v>40109</v>
      </c>
      <c r="F14" s="32">
        <v>0</v>
      </c>
      <c r="G14" s="32">
        <v>-40109</v>
      </c>
      <c r="H14" s="31">
        <v>0</v>
      </c>
    </row>
    <row r="15" spans="1:8" ht="15" x14ac:dyDescent="0.25">
      <c r="A15" s="33" t="s">
        <v>96</v>
      </c>
      <c r="B15" s="33" t="s">
        <v>83</v>
      </c>
      <c r="C15" s="32">
        <v>55410.65</v>
      </c>
      <c r="D15" s="32">
        <v>140154</v>
      </c>
      <c r="E15" s="32">
        <v>55410.65</v>
      </c>
      <c r="F15" s="32">
        <v>3388.69</v>
      </c>
      <c r="G15" s="32">
        <v>81354.66</v>
      </c>
      <c r="H15" s="31">
        <v>39.53</v>
      </c>
    </row>
    <row r="16" spans="1:8" ht="15" x14ac:dyDescent="0.25">
      <c r="A16" s="33" t="s">
        <v>139</v>
      </c>
      <c r="B16" s="33" t="s">
        <v>83</v>
      </c>
      <c r="C16" s="32">
        <v>501.61</v>
      </c>
      <c r="D16" s="32">
        <v>0</v>
      </c>
      <c r="E16" s="32">
        <v>501.61</v>
      </c>
      <c r="F16" s="32">
        <v>0</v>
      </c>
      <c r="G16" s="32">
        <v>-501.61</v>
      </c>
      <c r="H16" s="31">
        <v>0</v>
      </c>
    </row>
    <row r="17" spans="1:8" x14ac:dyDescent="0.2">
      <c r="C17" s="30"/>
      <c r="D17" s="30"/>
      <c r="E17" s="30"/>
      <c r="F17" s="30"/>
      <c r="G17" s="30"/>
    </row>
    <row r="18" spans="1:8" x14ac:dyDescent="0.2">
      <c r="A18" s="29" t="s">
        <v>95</v>
      </c>
      <c r="C18" s="28">
        <f>SUM($C$10:$C$16)</f>
        <v>-67584.14</v>
      </c>
      <c r="D18" s="28">
        <f>SUM($D$10:$D$16)</f>
        <v>85833</v>
      </c>
      <c r="E18" s="28">
        <f>SUM($E$10:$E$16)</f>
        <v>-67584.14</v>
      </c>
      <c r="F18" s="28">
        <f>SUM($F$10:$F$16)</f>
        <v>3388.69</v>
      </c>
      <c r="G18" s="28">
        <f>SUM($G$10:$G$16)</f>
        <v>150028.45000000001</v>
      </c>
      <c r="H18" s="27">
        <f>$E$18 * 100 / $D$18</f>
        <v>-78.739109666445302</v>
      </c>
    </row>
    <row r="19" spans="1:8" x14ac:dyDescent="0.2">
      <c r="C19" s="30"/>
      <c r="D19" s="30"/>
      <c r="E19" s="30"/>
      <c r="F19" s="30"/>
      <c r="G19" s="30"/>
    </row>
    <row r="20" spans="1:8" ht="12" thickBot="1" x14ac:dyDescent="0.25">
      <c r="A20" s="29" t="s">
        <v>9</v>
      </c>
      <c r="C20" s="28">
        <f>SUM(_Apta20_1_3_1)</f>
        <v>-67584.14</v>
      </c>
      <c r="D20" s="28">
        <f>SUM(_Apta20_1_4_1)</f>
        <v>85833</v>
      </c>
      <c r="E20" s="28">
        <f>SUM(_Apta20_1_5_1)</f>
        <v>-67584.14</v>
      </c>
      <c r="F20" s="28">
        <f>SUM(_Apta20_1_6_1)</f>
        <v>3388.69</v>
      </c>
      <c r="G20" s="28">
        <f>SUM(_Apta20_1_7_1)</f>
        <v>150028.45000000001</v>
      </c>
      <c r="H20" s="27">
        <f>$E$20 * 100 / $D$20</f>
        <v>-78.739109666445302</v>
      </c>
    </row>
    <row r="21" spans="1:8" ht="12" thickTop="1" x14ac:dyDescent="0.2">
      <c r="C21" s="26"/>
      <c r="D21" s="26"/>
      <c r="E21" s="26"/>
      <c r="F21" s="26"/>
      <c r="G21" s="26"/>
    </row>
  </sheetData>
  <mergeCells count="1">
    <mergeCell ref="A1:H1"/>
  </mergeCells>
  <phoneticPr fontId="7" type="noConversion"/>
  <printOptions horizontalCentered="1"/>
  <pageMargins left="0.5" right="0.5" top="0.75" bottom="1" header="0.5" footer="0.5"/>
  <pageSetup scale="82" fitToHeight="0" orientation="landscape" r:id="rId1"/>
  <headerFooter alignWithMargins="0">
    <oddHeader>&amp;LNM School for the Arts&amp;CAccount Summary Report&amp;R&amp;D &amp;T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43"/>
  <sheetViews>
    <sheetView topLeftCell="A28" workbookViewId="0">
      <selection activeCell="S44" sqref="A1:S44"/>
    </sheetView>
  </sheetViews>
  <sheetFormatPr defaultColWidth="8.85546875" defaultRowHeight="15" x14ac:dyDescent="0.25"/>
  <cols>
    <col min="1" max="1" width="45" bestFit="1" customWidth="1"/>
    <col min="2" max="2" width="12" bestFit="1" customWidth="1"/>
    <col min="3" max="6" width="9.85546875" bestFit="1" customWidth="1"/>
    <col min="7" max="7" width="9" bestFit="1" customWidth="1"/>
    <col min="8" max="8" width="7.7109375" bestFit="1" customWidth="1"/>
    <col min="9" max="10" width="9" bestFit="1" customWidth="1"/>
    <col min="11" max="11" width="9.85546875" bestFit="1" customWidth="1"/>
    <col min="12" max="13" width="10.7109375" bestFit="1" customWidth="1"/>
    <col min="14" max="14" width="9.42578125" bestFit="1" customWidth="1"/>
    <col min="15" max="15" width="8.28515625" bestFit="1" customWidth="1"/>
    <col min="16" max="18" width="9" bestFit="1" customWidth="1"/>
    <col min="19" max="19" width="12" bestFit="1" customWidth="1"/>
  </cols>
  <sheetData>
    <row r="1" spans="1:19" ht="45.75" x14ac:dyDescent="0.25">
      <c r="A1" s="14" t="s">
        <v>6</v>
      </c>
      <c r="B1" s="19" t="s">
        <v>7</v>
      </c>
      <c r="C1" s="19" t="s">
        <v>24</v>
      </c>
      <c r="D1" s="19" t="s">
        <v>25</v>
      </c>
      <c r="E1" s="19" t="s">
        <v>27</v>
      </c>
      <c r="F1" s="19" t="s">
        <v>28</v>
      </c>
      <c r="G1" s="19" t="s">
        <v>29</v>
      </c>
      <c r="H1" s="19" t="s">
        <v>56</v>
      </c>
      <c r="I1" s="19" t="s">
        <v>64</v>
      </c>
      <c r="J1" s="19" t="s">
        <v>57</v>
      </c>
      <c r="K1" s="19" t="s">
        <v>32</v>
      </c>
      <c r="L1" s="19" t="s">
        <v>33</v>
      </c>
      <c r="M1" s="19" t="s">
        <v>50</v>
      </c>
      <c r="N1" s="19" t="s">
        <v>58</v>
      </c>
      <c r="O1" s="19" t="s">
        <v>60</v>
      </c>
      <c r="P1" s="19" t="s">
        <v>61</v>
      </c>
      <c r="Q1" s="19" t="s">
        <v>65</v>
      </c>
      <c r="R1" s="20" t="s">
        <v>66</v>
      </c>
      <c r="S1" s="21" t="s">
        <v>9</v>
      </c>
    </row>
    <row r="3" spans="1:19" x14ac:dyDescent="0.25">
      <c r="A3" s="15" t="s">
        <v>62</v>
      </c>
      <c r="B3" s="22">
        <v>0</v>
      </c>
      <c r="C3" s="22">
        <v>0</v>
      </c>
      <c r="D3" s="22">
        <v>0</v>
      </c>
      <c r="E3" s="22">
        <v>0</v>
      </c>
      <c r="F3" s="22">
        <v>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2">
        <v>0</v>
      </c>
      <c r="M3" s="22">
        <v>163160.97</v>
      </c>
      <c r="N3" s="22">
        <v>0</v>
      </c>
      <c r="O3" s="22">
        <v>0</v>
      </c>
      <c r="P3" s="22">
        <v>0</v>
      </c>
      <c r="Q3" s="22">
        <v>0</v>
      </c>
      <c r="R3" s="22">
        <v>0</v>
      </c>
      <c r="S3" s="11">
        <v>163160.97</v>
      </c>
    </row>
    <row r="4" spans="1:19" x14ac:dyDescent="0.25">
      <c r="A4" s="15" t="s">
        <v>67</v>
      </c>
      <c r="B4" s="22">
        <v>423.24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  <c r="O4" s="22">
        <v>0</v>
      </c>
      <c r="P4" s="22">
        <v>0</v>
      </c>
      <c r="Q4" s="22">
        <v>0</v>
      </c>
      <c r="R4" s="22">
        <v>0</v>
      </c>
      <c r="S4" s="11">
        <v>423.24</v>
      </c>
    </row>
    <row r="5" spans="1:19" x14ac:dyDescent="0.25">
      <c r="A5" s="15" t="s">
        <v>63</v>
      </c>
      <c r="B5" s="22">
        <v>0</v>
      </c>
      <c r="C5" s="22">
        <v>0</v>
      </c>
      <c r="D5" s="22">
        <v>1691.5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11">
        <v>1691.5</v>
      </c>
    </row>
    <row r="6" spans="1:19" x14ac:dyDescent="0.25">
      <c r="A6" s="15" t="s">
        <v>34</v>
      </c>
      <c r="B6" s="22">
        <v>0</v>
      </c>
      <c r="C6" s="22">
        <v>0</v>
      </c>
      <c r="D6" s="22">
        <v>19044.03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11">
        <v>19044.03</v>
      </c>
    </row>
    <row r="7" spans="1:19" x14ac:dyDescent="0.25">
      <c r="A7" s="15" t="s">
        <v>35</v>
      </c>
      <c r="B7" s="22">
        <v>0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5853</v>
      </c>
      <c r="O7" s="22">
        <v>0</v>
      </c>
      <c r="P7" s="22">
        <v>5260.51</v>
      </c>
      <c r="Q7" s="22">
        <v>3452.86</v>
      </c>
      <c r="R7" s="22">
        <v>1000</v>
      </c>
      <c r="S7" s="11">
        <v>15566.37</v>
      </c>
    </row>
    <row r="8" spans="1:19" x14ac:dyDescent="0.25">
      <c r="A8" s="15" t="s">
        <v>51</v>
      </c>
      <c r="B8" s="22">
        <v>4047.92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11">
        <v>4047.92</v>
      </c>
    </row>
    <row r="9" spans="1:19" x14ac:dyDescent="0.25">
      <c r="A9" s="15" t="s">
        <v>36</v>
      </c>
      <c r="B9" s="22">
        <v>3950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11">
        <v>3950</v>
      </c>
    </row>
    <row r="10" spans="1:19" x14ac:dyDescent="0.25">
      <c r="A10" s="15" t="s">
        <v>37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95400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11">
        <v>95400</v>
      </c>
    </row>
    <row r="11" spans="1:19" x14ac:dyDescent="0.25">
      <c r="A11" s="15" t="s">
        <v>68</v>
      </c>
      <c r="B11" s="22">
        <v>309.83999999999997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11">
        <v>309.83999999999997</v>
      </c>
    </row>
    <row r="12" spans="1:19" x14ac:dyDescent="0.25">
      <c r="A12" s="15" t="s">
        <v>53</v>
      </c>
      <c r="B12" s="22">
        <v>512.22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11">
        <v>512.22</v>
      </c>
    </row>
    <row r="13" spans="1:19" x14ac:dyDescent="0.25">
      <c r="A13" s="15" t="s">
        <v>38</v>
      </c>
      <c r="B13" s="22">
        <v>1786231.72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11">
        <v>1786231.72</v>
      </c>
    </row>
    <row r="14" spans="1:19" x14ac:dyDescent="0.25">
      <c r="A14" s="15" t="s">
        <v>11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789</v>
      </c>
      <c r="I14" s="22">
        <v>5000</v>
      </c>
      <c r="J14" s="22">
        <v>3581</v>
      </c>
      <c r="K14" s="22">
        <v>0</v>
      </c>
      <c r="L14" s="22">
        <v>0</v>
      </c>
      <c r="M14" s="22">
        <v>4494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11">
        <v>13864</v>
      </c>
    </row>
    <row r="15" spans="1:19" x14ac:dyDescent="0.25">
      <c r="A15" s="15" t="s">
        <v>39</v>
      </c>
      <c r="B15" s="22">
        <v>0</v>
      </c>
      <c r="C15" s="22">
        <v>6342.09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11">
        <v>6342.09</v>
      </c>
    </row>
    <row r="16" spans="1:19" x14ac:dyDescent="0.25">
      <c r="A16" s="15" t="s">
        <v>40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137631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11">
        <v>137631</v>
      </c>
    </row>
    <row r="17" spans="1:19" x14ac:dyDescent="0.25">
      <c r="A17" s="15" t="s">
        <v>41</v>
      </c>
      <c r="B17" s="22">
        <v>0</v>
      </c>
      <c r="C17" s="22">
        <v>6342.09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11">
        <v>6342.09</v>
      </c>
    </row>
    <row r="18" spans="1:19" x14ac:dyDescent="0.25">
      <c r="A18" s="15" t="s">
        <v>43</v>
      </c>
      <c r="B18" s="22">
        <v>0</v>
      </c>
      <c r="C18" s="22">
        <v>0</v>
      </c>
      <c r="D18" s="22">
        <v>14966.5</v>
      </c>
      <c r="E18" s="22">
        <v>21356.65</v>
      </c>
      <c r="F18" s="22">
        <v>27950.43</v>
      </c>
      <c r="G18" s="22">
        <v>2236.9699999999998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11">
        <v>66510.55</v>
      </c>
    </row>
    <row r="19" spans="1:19" x14ac:dyDescent="0.25">
      <c r="A19" s="15" t="s">
        <v>54</v>
      </c>
      <c r="B19" s="23">
        <v>12360.72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12">
        <v>12360.72</v>
      </c>
    </row>
    <row r="20" spans="1:19" x14ac:dyDescent="0.25">
      <c r="A20" s="15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10"/>
    </row>
    <row r="21" spans="1:19" x14ac:dyDescent="0.25">
      <c r="A21" s="16" t="s">
        <v>12</v>
      </c>
      <c r="B21" s="23">
        <v>1807835.66</v>
      </c>
      <c r="C21" s="23">
        <v>12684.18</v>
      </c>
      <c r="D21" s="23">
        <v>35702.03</v>
      </c>
      <c r="E21" s="23">
        <v>21356.65</v>
      </c>
      <c r="F21" s="23">
        <v>27950.43</v>
      </c>
      <c r="G21" s="23">
        <v>2236.9699999999998</v>
      </c>
      <c r="H21" s="23">
        <v>789</v>
      </c>
      <c r="I21" s="23">
        <v>5000</v>
      </c>
      <c r="J21" s="23">
        <v>3581</v>
      </c>
      <c r="K21" s="23">
        <v>95400</v>
      </c>
      <c r="L21" s="23">
        <v>137631</v>
      </c>
      <c r="M21" s="23">
        <v>167654.97</v>
      </c>
      <c r="N21" s="23">
        <v>5853</v>
      </c>
      <c r="O21" s="23">
        <v>0</v>
      </c>
      <c r="P21" s="23">
        <v>5260.51</v>
      </c>
      <c r="Q21" s="23">
        <v>3452.86</v>
      </c>
      <c r="R21" s="23">
        <v>1000</v>
      </c>
      <c r="S21" s="12">
        <v>2333388.2599999998</v>
      </c>
    </row>
    <row r="22" spans="1:19" x14ac:dyDescent="0.25">
      <c r="A22" s="15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10"/>
    </row>
    <row r="23" spans="1:19" x14ac:dyDescent="0.25">
      <c r="A23" s="15" t="s">
        <v>13</v>
      </c>
      <c r="B23" s="22">
        <v>920708.44</v>
      </c>
      <c r="C23" s="22">
        <v>12830.22</v>
      </c>
      <c r="D23" s="22">
        <v>0</v>
      </c>
      <c r="E23" s="22">
        <v>21356.65</v>
      </c>
      <c r="F23" s="22">
        <v>23785.98</v>
      </c>
      <c r="G23" s="22">
        <v>2136.9699999999998</v>
      </c>
      <c r="H23" s="22">
        <v>789</v>
      </c>
      <c r="I23" s="22">
        <v>5000</v>
      </c>
      <c r="J23" s="22">
        <v>3581</v>
      </c>
      <c r="K23" s="22">
        <v>21206.71</v>
      </c>
      <c r="L23" s="22">
        <v>0</v>
      </c>
      <c r="M23" s="22">
        <v>0</v>
      </c>
      <c r="N23" s="22">
        <v>7511.76</v>
      </c>
      <c r="O23" s="22">
        <v>101.25</v>
      </c>
      <c r="P23" s="22">
        <v>2385.9</v>
      </c>
      <c r="Q23" s="22">
        <v>3343.72</v>
      </c>
      <c r="R23" s="22">
        <v>0</v>
      </c>
      <c r="S23" s="11">
        <v>1024737.6</v>
      </c>
    </row>
    <row r="24" spans="1:19" x14ac:dyDescent="0.25">
      <c r="A24" s="15" t="s">
        <v>44</v>
      </c>
      <c r="B24" s="22">
        <v>86358.51</v>
      </c>
      <c r="C24" s="22">
        <v>0</v>
      </c>
      <c r="D24" s="22">
        <v>0</v>
      </c>
      <c r="E24" s="22">
        <v>0</v>
      </c>
      <c r="F24" s="22">
        <v>4164.45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11">
        <v>90522.96</v>
      </c>
    </row>
    <row r="25" spans="1:19" x14ac:dyDescent="0.25">
      <c r="A25" s="15" t="s">
        <v>55</v>
      </c>
      <c r="B25" s="22">
        <v>88726.93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3744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11">
        <v>92470.93</v>
      </c>
    </row>
    <row r="26" spans="1:19" x14ac:dyDescent="0.25">
      <c r="A26" s="15" t="s">
        <v>14</v>
      </c>
      <c r="B26" s="22">
        <v>39025.58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1631.62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11">
        <v>40657.199999999997</v>
      </c>
    </row>
    <row r="27" spans="1:19" x14ac:dyDescent="0.25">
      <c r="A27" s="15" t="s">
        <v>15</v>
      </c>
      <c r="B27" s="22">
        <v>303372.63</v>
      </c>
      <c r="C27" s="22">
        <v>0</v>
      </c>
      <c r="D27" s="22">
        <v>0</v>
      </c>
      <c r="E27" s="22">
        <v>0</v>
      </c>
      <c r="F27" s="22">
        <v>0</v>
      </c>
      <c r="G27" s="22">
        <v>100</v>
      </c>
      <c r="H27" s="22">
        <v>0</v>
      </c>
      <c r="I27" s="22">
        <v>0</v>
      </c>
      <c r="J27" s="22">
        <v>0</v>
      </c>
      <c r="K27" s="22">
        <v>278.06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11">
        <v>303750.69</v>
      </c>
    </row>
    <row r="28" spans="1:19" x14ac:dyDescent="0.25">
      <c r="A28" s="15" t="s">
        <v>16</v>
      </c>
      <c r="B28" s="22">
        <v>144728.13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11">
        <v>144728.13</v>
      </c>
    </row>
    <row r="29" spans="1:19" x14ac:dyDescent="0.25">
      <c r="A29" s="15" t="s">
        <v>17</v>
      </c>
      <c r="B29" s="22">
        <v>259363.78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11">
        <v>259363.78</v>
      </c>
    </row>
    <row r="30" spans="1:19" x14ac:dyDescent="0.25">
      <c r="A30" s="15" t="s">
        <v>46</v>
      </c>
      <c r="B30" s="22">
        <v>16323.03</v>
      </c>
      <c r="C30" s="22">
        <v>0</v>
      </c>
      <c r="D30" s="22">
        <v>41161.96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11">
        <v>57484.99</v>
      </c>
    </row>
    <row r="31" spans="1:19" x14ac:dyDescent="0.25">
      <c r="A31" s="15" t="s">
        <v>47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137631</v>
      </c>
      <c r="M31" s="23">
        <v>98439.21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12">
        <v>236070.21</v>
      </c>
    </row>
    <row r="32" spans="1:19" x14ac:dyDescent="0.25">
      <c r="A32" s="15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10"/>
    </row>
    <row r="33" spans="1:19" x14ac:dyDescent="0.25">
      <c r="A33" s="16" t="s">
        <v>18</v>
      </c>
      <c r="B33" s="23">
        <v>1858607.03</v>
      </c>
      <c r="C33" s="23">
        <v>12830.22</v>
      </c>
      <c r="D33" s="23">
        <v>41161.96</v>
      </c>
      <c r="E33" s="23">
        <v>21356.65</v>
      </c>
      <c r="F33" s="23">
        <v>27950.43</v>
      </c>
      <c r="G33" s="23">
        <v>2236.9699999999998</v>
      </c>
      <c r="H33" s="23">
        <v>789</v>
      </c>
      <c r="I33" s="23">
        <v>5000</v>
      </c>
      <c r="J33" s="23">
        <v>3581</v>
      </c>
      <c r="K33" s="23">
        <v>25228.77</v>
      </c>
      <c r="L33" s="23">
        <v>137631</v>
      </c>
      <c r="M33" s="23">
        <v>100070.83</v>
      </c>
      <c r="N33" s="23">
        <v>7511.76</v>
      </c>
      <c r="O33" s="23">
        <v>101.25</v>
      </c>
      <c r="P33" s="23">
        <v>2385.9</v>
      </c>
      <c r="Q33" s="23">
        <v>3343.72</v>
      </c>
      <c r="R33" s="23">
        <v>0</v>
      </c>
      <c r="S33" s="12">
        <v>2249786.4900000002</v>
      </c>
    </row>
    <row r="34" spans="1:19" x14ac:dyDescent="0.25">
      <c r="A34" s="15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10"/>
    </row>
    <row r="35" spans="1:19" x14ac:dyDescent="0.25">
      <c r="A35" s="16" t="s">
        <v>19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12">
        <v>0</v>
      </c>
    </row>
    <row r="36" spans="1:19" x14ac:dyDescent="0.25">
      <c r="A36" s="15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10"/>
    </row>
    <row r="37" spans="1:19" x14ac:dyDescent="0.25">
      <c r="A37" s="16" t="s">
        <v>20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10"/>
    </row>
    <row r="38" spans="1:19" x14ac:dyDescent="0.25">
      <c r="A38" s="16" t="s">
        <v>21</v>
      </c>
      <c r="B38" s="23">
        <v>-50771.37</v>
      </c>
      <c r="C38" s="23">
        <v>-146.04</v>
      </c>
      <c r="D38" s="23">
        <v>-5459.93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70171.23</v>
      </c>
      <c r="L38" s="23">
        <v>0</v>
      </c>
      <c r="M38" s="23">
        <v>67584.14</v>
      </c>
      <c r="N38" s="23">
        <v>-1658.76</v>
      </c>
      <c r="O38" s="23">
        <v>-101.25</v>
      </c>
      <c r="P38" s="23">
        <v>2874.61</v>
      </c>
      <c r="Q38" s="23">
        <v>109.14</v>
      </c>
      <c r="R38" s="23">
        <v>1000</v>
      </c>
      <c r="S38" s="12">
        <v>83601.77</v>
      </c>
    </row>
    <row r="39" spans="1:19" x14ac:dyDescent="0.25">
      <c r="A39" s="15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10"/>
    </row>
    <row r="40" spans="1:19" x14ac:dyDescent="0.25">
      <c r="A40" s="15" t="s">
        <v>22</v>
      </c>
      <c r="B40" s="22">
        <v>377548.56</v>
      </c>
      <c r="C40" s="22">
        <v>2617.91</v>
      </c>
      <c r="D40" s="22">
        <v>5459.93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4718.1099999999997</v>
      </c>
      <c r="L40" s="22">
        <v>0</v>
      </c>
      <c r="M40" s="22">
        <v>94510.99</v>
      </c>
      <c r="N40" s="22">
        <v>4578.59</v>
      </c>
      <c r="O40" s="22">
        <v>101.25</v>
      </c>
      <c r="P40" s="22">
        <v>981.9</v>
      </c>
      <c r="Q40" s="22">
        <v>0</v>
      </c>
      <c r="R40" s="22">
        <v>0</v>
      </c>
      <c r="S40" s="11">
        <v>490517.24</v>
      </c>
    </row>
    <row r="41" spans="1:19" x14ac:dyDescent="0.25">
      <c r="A41" s="17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ht="15.75" thickBot="1" x14ac:dyDescent="0.3">
      <c r="A42" s="18" t="s">
        <v>23</v>
      </c>
      <c r="B42" s="13">
        <v>326777.19</v>
      </c>
      <c r="C42" s="13">
        <v>2471.87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74889.34</v>
      </c>
      <c r="L42" s="13">
        <v>0</v>
      </c>
      <c r="M42" s="13">
        <v>162095.13</v>
      </c>
      <c r="N42" s="13">
        <v>2919.83</v>
      </c>
      <c r="O42" s="13">
        <v>0</v>
      </c>
      <c r="P42" s="13">
        <v>3856.51</v>
      </c>
      <c r="Q42" s="13">
        <v>109.14</v>
      </c>
      <c r="R42" s="13">
        <v>1000</v>
      </c>
      <c r="S42" s="13">
        <v>574119.01</v>
      </c>
    </row>
    <row r="43" spans="1:19" ht="15.75" thickTop="1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</sheetData>
  <phoneticPr fontId="7" type="noConversion"/>
  <pageMargins left="0.7" right="0.7" top="0.75" bottom="0.75" header="0.3" footer="0.3"/>
  <pageSetup orientation="landscape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14"/>
  <sheetViews>
    <sheetView workbookViewId="0">
      <pane ySplit="3" topLeftCell="A4" activePane="bottomLeft" state="frozen"/>
      <selection pane="bottomLeft" activeCell="H15" sqref="A1:H15"/>
    </sheetView>
  </sheetViews>
  <sheetFormatPr defaultColWidth="8.85546875" defaultRowHeight="11.25" x14ac:dyDescent="0.2"/>
  <cols>
    <col min="1" max="2" width="31" style="10" customWidth="1"/>
    <col min="3" max="3" width="16.42578125" style="10" customWidth="1"/>
    <col min="4" max="5" width="13.42578125" style="10" bestFit="1" customWidth="1"/>
    <col min="6" max="6" width="16.42578125" style="10" customWidth="1"/>
    <col min="7" max="7" width="12.7109375" style="10" customWidth="1"/>
    <col min="8" max="8" width="10.28515625" style="10" customWidth="1"/>
    <col min="9" max="16384" width="8.85546875" style="10"/>
  </cols>
  <sheetData>
    <row r="1" spans="1:8" ht="22.5" customHeight="1" x14ac:dyDescent="0.2">
      <c r="A1" s="46" t="s">
        <v>142</v>
      </c>
      <c r="B1" s="46"/>
      <c r="C1" s="46"/>
      <c r="D1" s="46"/>
      <c r="E1" s="46"/>
      <c r="F1" s="46"/>
      <c r="G1" s="46"/>
      <c r="H1" s="46"/>
    </row>
    <row r="3" spans="1:8" x14ac:dyDescent="0.2">
      <c r="A3" s="34" t="s">
        <v>119</v>
      </c>
      <c r="B3" s="34" t="s">
        <v>6</v>
      </c>
      <c r="C3" s="34" t="s">
        <v>118</v>
      </c>
      <c r="D3" s="34" t="s">
        <v>117</v>
      </c>
      <c r="E3" s="34" t="s">
        <v>116</v>
      </c>
      <c r="F3" s="34" t="s">
        <v>115</v>
      </c>
      <c r="G3" s="34" t="s">
        <v>114</v>
      </c>
      <c r="H3" s="34" t="s">
        <v>113</v>
      </c>
    </row>
    <row r="5" spans="1:8" ht="15" x14ac:dyDescent="0.25">
      <c r="A5" s="33" t="s">
        <v>126</v>
      </c>
      <c r="B5" s="33" t="s">
        <v>93</v>
      </c>
      <c r="C5" s="32">
        <v>-156656.07</v>
      </c>
      <c r="D5" s="32">
        <v>-150000</v>
      </c>
      <c r="E5" s="32">
        <v>-156656.07</v>
      </c>
      <c r="F5" s="32">
        <v>0</v>
      </c>
      <c r="G5" s="32">
        <v>6656.07</v>
      </c>
      <c r="H5" s="31">
        <v>104.43</v>
      </c>
    </row>
    <row r="6" spans="1:8" ht="15" x14ac:dyDescent="0.25">
      <c r="A6" s="33" t="s">
        <v>125</v>
      </c>
      <c r="B6" s="33" t="s">
        <v>111</v>
      </c>
      <c r="C6" s="32">
        <v>-4083</v>
      </c>
      <c r="D6" s="32">
        <v>-4083</v>
      </c>
      <c r="E6" s="32">
        <v>-4083</v>
      </c>
      <c r="F6" s="32">
        <v>0</v>
      </c>
      <c r="G6" s="32">
        <v>0</v>
      </c>
      <c r="H6" s="31">
        <v>100</v>
      </c>
    </row>
    <row r="7" spans="1:8" ht="15" x14ac:dyDescent="0.25">
      <c r="A7" s="33" t="s">
        <v>124</v>
      </c>
      <c r="B7" s="33" t="s">
        <v>91</v>
      </c>
      <c r="C7" s="32">
        <v>1566.55</v>
      </c>
      <c r="D7" s="32">
        <v>2250</v>
      </c>
      <c r="E7" s="32">
        <v>1566.55</v>
      </c>
      <c r="F7" s="32">
        <v>0</v>
      </c>
      <c r="G7" s="32">
        <v>683.45</v>
      </c>
      <c r="H7" s="31">
        <v>69.62</v>
      </c>
    </row>
    <row r="8" spans="1:8" ht="15" x14ac:dyDescent="0.25">
      <c r="A8" s="33" t="s">
        <v>123</v>
      </c>
      <c r="B8" s="33" t="s">
        <v>89</v>
      </c>
      <c r="C8" s="32">
        <v>0</v>
      </c>
      <c r="D8" s="32">
        <v>47750</v>
      </c>
      <c r="E8" s="32">
        <v>0</v>
      </c>
      <c r="F8" s="32">
        <v>0</v>
      </c>
      <c r="G8" s="32">
        <v>47750</v>
      </c>
      <c r="H8" s="31">
        <v>0</v>
      </c>
    </row>
    <row r="9" spans="1:8" ht="15" x14ac:dyDescent="0.25">
      <c r="A9" s="33" t="s">
        <v>96</v>
      </c>
      <c r="B9" s="33" t="s">
        <v>83</v>
      </c>
      <c r="C9" s="32">
        <v>64661.53</v>
      </c>
      <c r="D9" s="32">
        <v>104083</v>
      </c>
      <c r="E9" s="32">
        <v>64661.53</v>
      </c>
      <c r="F9" s="32">
        <v>350</v>
      </c>
      <c r="G9" s="32">
        <v>39071.47</v>
      </c>
      <c r="H9" s="31">
        <v>62.12</v>
      </c>
    </row>
    <row r="10" spans="1:8" x14ac:dyDescent="0.2">
      <c r="C10" s="30"/>
      <c r="D10" s="30"/>
      <c r="E10" s="30"/>
      <c r="F10" s="30"/>
      <c r="G10" s="30"/>
    </row>
    <row r="11" spans="1:8" x14ac:dyDescent="0.2">
      <c r="A11" s="29" t="s">
        <v>95</v>
      </c>
      <c r="C11" s="28">
        <f>SUM($C$5:$C$9)</f>
        <v>-94510.99000000002</v>
      </c>
      <c r="D11" s="28">
        <f>SUM($D$5:$D$9)</f>
        <v>0</v>
      </c>
      <c r="E11" s="28">
        <f>SUM($E$5:$E$9)</f>
        <v>-94510.99000000002</v>
      </c>
      <c r="F11" s="28">
        <f>SUM($F$5:$F$9)</f>
        <v>350</v>
      </c>
      <c r="G11" s="28">
        <f>SUM($G$5:$G$9)</f>
        <v>94160.989999999991</v>
      </c>
      <c r="H11" s="27">
        <v>0</v>
      </c>
    </row>
    <row r="12" spans="1:8" x14ac:dyDescent="0.2">
      <c r="C12" s="30"/>
      <c r="D12" s="30"/>
      <c r="E12" s="30"/>
      <c r="F12" s="30"/>
      <c r="G12" s="30"/>
    </row>
    <row r="13" spans="1:8" ht="12" thickBot="1" x14ac:dyDescent="0.25">
      <c r="A13" s="29" t="s">
        <v>9</v>
      </c>
      <c r="C13" s="28">
        <f>SUM(_Apta13_1_3_1)</f>
        <v>-94510.99000000002</v>
      </c>
      <c r="D13" s="28">
        <f>SUM(_Apta13_1_4_1)</f>
        <v>0</v>
      </c>
      <c r="E13" s="28">
        <f>SUM(_Apta13_1_5_1)</f>
        <v>-94510.99000000002</v>
      </c>
      <c r="F13" s="28">
        <f>SUM(_Apta13_1_6_1)</f>
        <v>350</v>
      </c>
      <c r="G13" s="28">
        <f>SUM(_Apta13_1_7_1)</f>
        <v>94160.989999999991</v>
      </c>
      <c r="H13" s="27">
        <v>0</v>
      </c>
    </row>
    <row r="14" spans="1:8" ht="12" thickTop="1" x14ac:dyDescent="0.2">
      <c r="C14" s="26"/>
      <c r="D14" s="26"/>
      <c r="E14" s="26"/>
      <c r="F14" s="26"/>
      <c r="G14" s="26"/>
    </row>
  </sheetData>
  <mergeCells count="1">
    <mergeCell ref="A1:H1"/>
  </mergeCells>
  <phoneticPr fontId="7" type="noConversion"/>
  <printOptions horizontalCentered="1"/>
  <pageMargins left="0.5" right="0.5" top="0.75" bottom="1" header="0.5" footer="0.5"/>
  <pageSetup scale="82" fitToHeight="0" orientation="landscape" r:id="rId1"/>
  <headerFooter alignWithMargins="0">
    <oddHeader>&amp;LNM School for the Arts&amp;CAccount Summary Report&amp;R&amp;D &amp;T</oddHead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03804B7EF09A43B274A9AB3EF9EF06" ma:contentTypeVersion="2" ma:contentTypeDescription="Create a new document." ma:contentTypeScope="" ma:versionID="c71a15aa9dac08a8e7f429d5321a037e">
  <xsd:schema xmlns:xsd="http://www.w3.org/2001/XMLSchema" xmlns:xs="http://www.w3.org/2001/XMLSchema" xmlns:p="http://schemas.microsoft.com/office/2006/metadata/properties" xmlns:ns2="ab76e838-31f0-4060-b4f1-aae79ab6104a" targetNamespace="http://schemas.microsoft.com/office/2006/metadata/properties" ma:root="true" ma:fieldsID="8dfe2b87cb19f558d3256453bc1c5b6d" ns2:_="">
    <xsd:import namespace="ab76e838-31f0-4060-b4f1-aae79ab6104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76e838-31f0-4060-b4f1-aae79ab6104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DB5949-0F08-4D91-86DD-A216EC9AD69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b76e838-31f0-4060-b4f1-aae79ab6104a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66ADDBF-1CFE-48CE-AF62-E83E11B2DC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76e838-31f0-4060-b4f1-aae79ab610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FDACCB-C062-4108-91B9-21F72C5BD3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93</vt:i4>
      </vt:variant>
    </vt:vector>
  </HeadingPairs>
  <TitlesOfParts>
    <vt:vector size="107" baseType="lpstr">
      <vt:lpstr>Summary</vt:lpstr>
      <vt:lpstr>Budget - FY2017</vt:lpstr>
      <vt:lpstr>Budget - FY2016</vt:lpstr>
      <vt:lpstr>FY2016</vt:lpstr>
      <vt:lpstr>Budget - FY2015</vt:lpstr>
      <vt:lpstr>FY2015</vt:lpstr>
      <vt:lpstr>Budget - FY2014</vt:lpstr>
      <vt:lpstr>FY2014</vt:lpstr>
      <vt:lpstr>Budget - FY2013</vt:lpstr>
      <vt:lpstr>FY2013</vt:lpstr>
      <vt:lpstr>Budget - FY2012</vt:lpstr>
      <vt:lpstr>FY2012</vt:lpstr>
      <vt:lpstr>FY2011</vt:lpstr>
      <vt:lpstr>FY2010</vt:lpstr>
      <vt:lpstr>'Budget - FY2012'!_AccountCode</vt:lpstr>
      <vt:lpstr>'Budget - FY2013'!_AccountCode</vt:lpstr>
      <vt:lpstr>'Budget - FY2014'!_AccountCode</vt:lpstr>
      <vt:lpstr>'Budget - FY2015'!_AccountCode</vt:lpstr>
      <vt:lpstr>'Budget - FY2016'!_AccountCode</vt:lpstr>
      <vt:lpstr>_AccountCode</vt:lpstr>
      <vt:lpstr>'Budget - FY2012'!_ActualBalance</vt:lpstr>
      <vt:lpstr>'Budget - FY2013'!_ActualBalance</vt:lpstr>
      <vt:lpstr>'Budget - FY2014'!_ActualBalance</vt:lpstr>
      <vt:lpstr>'Budget - FY2015'!_ActualBalance</vt:lpstr>
      <vt:lpstr>'Budget - FY2016'!_ActualBalance</vt:lpstr>
      <vt:lpstr>_ActualBalance</vt:lpstr>
      <vt:lpstr>'Budget - FY2012'!_ActualDateRange</vt:lpstr>
      <vt:lpstr>'Budget - FY2013'!_ActualDateRange</vt:lpstr>
      <vt:lpstr>'Budget - FY2014'!_ActualDateRange</vt:lpstr>
      <vt:lpstr>'Budget - FY2015'!_ActualDateRange</vt:lpstr>
      <vt:lpstr>'Budget - FY2016'!_ActualDateRange</vt:lpstr>
      <vt:lpstr>_ActualDateRange</vt:lpstr>
      <vt:lpstr>_Apta10_1_3_1</vt:lpstr>
      <vt:lpstr>_Apta10_1_4_1</vt:lpstr>
      <vt:lpstr>_Apta10_1_5_1</vt:lpstr>
      <vt:lpstr>_Apta10_1_6_1</vt:lpstr>
      <vt:lpstr>_Apta10_1_7_1</vt:lpstr>
      <vt:lpstr>_Apta13_1_3_1</vt:lpstr>
      <vt:lpstr>_Apta13_1_4_1</vt:lpstr>
      <vt:lpstr>_Apta13_1_5_1</vt:lpstr>
      <vt:lpstr>_Apta13_1_6_1</vt:lpstr>
      <vt:lpstr>_Apta13_1_7_1</vt:lpstr>
      <vt:lpstr>_Apta20_1_3_1</vt:lpstr>
      <vt:lpstr>_Apta20_1_4_1</vt:lpstr>
      <vt:lpstr>_Apta20_1_5_1</vt:lpstr>
      <vt:lpstr>_Apta20_1_6_1</vt:lpstr>
      <vt:lpstr>_Apta20_1_7_1</vt:lpstr>
      <vt:lpstr>_Apta29_1_3_1</vt:lpstr>
      <vt:lpstr>_Apta29_1_4_1</vt:lpstr>
      <vt:lpstr>_Apta29_1_5_1</vt:lpstr>
      <vt:lpstr>_Apta29_1_6_1</vt:lpstr>
      <vt:lpstr>_Apta29_1_7_1</vt:lpstr>
      <vt:lpstr>_Apta38_1_3_1</vt:lpstr>
      <vt:lpstr>_Apta38_1_4_1</vt:lpstr>
      <vt:lpstr>_Apta38_1_5_1</vt:lpstr>
      <vt:lpstr>_Apta38_1_6_1</vt:lpstr>
      <vt:lpstr>_Apta38_1_7_1</vt:lpstr>
      <vt:lpstr>_Apta39_1_3_1</vt:lpstr>
      <vt:lpstr>_Apta39_1_4_1</vt:lpstr>
      <vt:lpstr>_Apta39_1_5_1</vt:lpstr>
      <vt:lpstr>_Apta39_1_6_1</vt:lpstr>
      <vt:lpstr>_Apta39_1_7_1</vt:lpstr>
      <vt:lpstr>'Budget - FY2012'!_Available</vt:lpstr>
      <vt:lpstr>'Budget - FY2013'!_Available</vt:lpstr>
      <vt:lpstr>'Budget - FY2014'!_Available</vt:lpstr>
      <vt:lpstr>'Budget - FY2015'!_Available</vt:lpstr>
      <vt:lpstr>'Budget - FY2016'!_Available</vt:lpstr>
      <vt:lpstr>_Available</vt:lpstr>
      <vt:lpstr>'Budget - FY2012'!_BudgetBalance</vt:lpstr>
      <vt:lpstr>'Budget - FY2013'!_BudgetBalance</vt:lpstr>
      <vt:lpstr>'Budget - FY2014'!_BudgetBalance</vt:lpstr>
      <vt:lpstr>'Budget - FY2015'!_BudgetBalance</vt:lpstr>
      <vt:lpstr>'Budget - FY2016'!_BudgetBalance</vt:lpstr>
      <vt:lpstr>_BudgetBalance</vt:lpstr>
      <vt:lpstr>'Budget - FY2012'!_Description</vt:lpstr>
      <vt:lpstr>'Budget - FY2013'!_Description</vt:lpstr>
      <vt:lpstr>'Budget - FY2014'!_Description</vt:lpstr>
      <vt:lpstr>'Budget - FY2015'!_Description</vt:lpstr>
      <vt:lpstr>'Budget - FY2016'!_Description</vt:lpstr>
      <vt:lpstr>_Description</vt:lpstr>
      <vt:lpstr>'Budget - FY2012'!_EncumbranceBalance</vt:lpstr>
      <vt:lpstr>'Budget - FY2013'!_EncumbranceBalance</vt:lpstr>
      <vt:lpstr>'Budget - FY2014'!_EncumbranceBalance</vt:lpstr>
      <vt:lpstr>'Budget - FY2015'!_EncumbranceBalance</vt:lpstr>
      <vt:lpstr>'Budget - FY2016'!_EncumbranceBalance</vt:lpstr>
      <vt:lpstr>_EncumbranceBalance</vt:lpstr>
      <vt:lpstr>'Budget - FY2013'!_Percent</vt:lpstr>
      <vt:lpstr>'Budget - FY2014'!_Percent</vt:lpstr>
      <vt:lpstr>'Budget - FY2012'!Print_Area</vt:lpstr>
      <vt:lpstr>'Budget - FY2013'!Print_Area</vt:lpstr>
      <vt:lpstr>'Budget - FY2014'!Print_Area</vt:lpstr>
      <vt:lpstr>'Budget - FY2016'!Print_Area</vt:lpstr>
      <vt:lpstr>'Budget - FY2017'!Print_Area</vt:lpstr>
      <vt:lpstr>'FY2010'!Print_Area</vt:lpstr>
      <vt:lpstr>'FY2011'!Print_Area</vt:lpstr>
      <vt:lpstr>'FY2012'!Print_Area</vt:lpstr>
      <vt:lpstr>'FY2013'!Print_Area</vt:lpstr>
      <vt:lpstr>'FY2014'!Print_Area</vt:lpstr>
      <vt:lpstr>'FY2015'!Print_Area</vt:lpstr>
      <vt:lpstr>'FY2016'!Print_Area</vt:lpstr>
      <vt:lpstr>Summary!Print_Area</vt:lpstr>
      <vt:lpstr>'Budget - FY2012'!Print_Titles</vt:lpstr>
      <vt:lpstr>'Budget - FY2013'!Print_Titles</vt:lpstr>
      <vt:lpstr>'Budget - FY2014'!Print_Titles</vt:lpstr>
      <vt:lpstr>'Budget - FY2015'!Print_Titles</vt:lpstr>
      <vt:lpstr>'Budget - FY2016'!Print_Titles</vt:lpstr>
      <vt:lpstr>'Budget - FY2017'!Print_Titles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Jolene Jaramillo</dc:creator>
  <cp:lastModifiedBy>Elizabeth Romero</cp:lastModifiedBy>
  <cp:lastPrinted>2018-11-07T06:02:08Z</cp:lastPrinted>
  <dcterms:created xsi:type="dcterms:W3CDTF">2016-09-26T01:30:34Z</dcterms:created>
  <dcterms:modified xsi:type="dcterms:W3CDTF">2019-03-10T07:18:32Z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0x0101005903804B7EF09A43B274A9AB3EF9EF06</vt:lpwstr>
  </property>
</Properties>
</file>